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ЦПГИ\2. Грантополучатели\Договора (Сельские - МКИ)\11. ОФ «КАМЕДА»+\Согласовние\"/>
    </mc:Choice>
  </mc:AlternateContent>
  <xr:revisionPtr revIDLastSave="0" documentId="13_ncr:1_{BD31B452-D908-43E1-95B8-4EACDF8620D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4 год " sheetId="3" r:id="rId1"/>
    <sheet name="2025 год" sheetId="2" r:id="rId2"/>
    <sheet name="ЗП 2024" sheetId="4" r:id="rId3"/>
    <sheet name="ЗП 2025" sheetId="5" r:id="rId4"/>
  </sheets>
  <definedNames>
    <definedName name="_xlnm.Print_Area" localSheetId="1">'2025 год'!$A$1:$H$79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2" l="1"/>
  <c r="F39" i="2"/>
  <c r="F40" i="2"/>
  <c r="F35" i="2"/>
  <c r="F36" i="2"/>
  <c r="F30" i="2"/>
  <c r="F29" i="2"/>
  <c r="H49" i="2"/>
  <c r="F49" i="2" a="1"/>
  <c r="F49" i="2" s="1"/>
  <c r="H27" i="3"/>
  <c r="H52" i="3"/>
  <c r="F52" i="3"/>
  <c r="F49" i="3"/>
  <c r="F48" i="3" s="1"/>
  <c r="F16" i="3"/>
  <c r="G29" i="3"/>
  <c r="G28" i="3" s="1"/>
  <c r="F17" i="2"/>
  <c r="G48" i="2"/>
  <c r="G49" i="2"/>
  <c r="G39" i="2"/>
  <c r="G36" i="2"/>
  <c r="G35" i="2" s="1"/>
  <c r="G30" i="2"/>
  <c r="G29" i="2" s="1"/>
  <c r="G26" i="2"/>
  <c r="G24" i="2"/>
  <c r="G11" i="5"/>
  <c r="G49" i="3"/>
  <c r="G48" i="3" s="1"/>
  <c r="G44" i="3"/>
  <c r="G39" i="3"/>
  <c r="G35" i="3"/>
  <c r="G34" i="3" s="1"/>
  <c r="G25" i="3"/>
  <c r="G14" i="3"/>
  <c r="G28" i="2" l="1"/>
  <c r="G38" i="3"/>
  <c r="G27" i="3" s="1"/>
  <c r="F21" i="3" l="1"/>
  <c r="H21" i="3" s="1"/>
  <c r="H16" i="3"/>
  <c r="F15" i="3"/>
  <c r="H15" i="3" l="1"/>
  <c r="F47" i="2"/>
  <c r="H47" i="2" s="1"/>
  <c r="F46" i="2"/>
  <c r="H46" i="2" s="1"/>
  <c r="F45" i="2"/>
  <c r="F38" i="2"/>
  <c r="H38" i="2" s="1"/>
  <c r="F50" i="2"/>
  <c r="H50" i="2" s="1"/>
  <c r="F51" i="3"/>
  <c r="H51" i="3" s="1"/>
  <c r="F47" i="3"/>
  <c r="H47" i="3" s="1"/>
  <c r="F46" i="3"/>
  <c r="H46" i="3" s="1"/>
  <c r="F45" i="3"/>
  <c r="F37" i="3"/>
  <c r="H37" i="3" s="1"/>
  <c r="F50" i="3"/>
  <c r="H50" i="3" s="1"/>
  <c r="H45" i="3" l="1"/>
  <c r="F44" i="3"/>
  <c r="H44" i="3" s="1"/>
  <c r="F44" i="2"/>
  <c r="H44" i="2" s="1"/>
  <c r="H45" i="2"/>
  <c r="H49" i="3"/>
  <c r="G12" i="4" l="1"/>
  <c r="G13" i="5"/>
  <c r="G14" i="5" s="1"/>
  <c r="D6" i="5"/>
  <c r="E6" i="5" s="1"/>
  <c r="D5" i="5"/>
  <c r="E5" i="5" s="1"/>
  <c r="D4" i="5"/>
  <c r="E4" i="5" s="1"/>
  <c r="D3" i="5"/>
  <c r="E3" i="5" s="1"/>
  <c r="E2" i="5"/>
  <c r="E1" i="5"/>
  <c r="I12" i="5"/>
  <c r="D12" i="5"/>
  <c r="B12" i="5"/>
  <c r="I11" i="5"/>
  <c r="D11" i="5"/>
  <c r="D13" i="5" s="1"/>
  <c r="D14" i="5" s="1"/>
  <c r="B11" i="5"/>
  <c r="D6" i="4"/>
  <c r="E6" i="4" s="1"/>
  <c r="D5" i="4"/>
  <c r="E5" i="4" s="1"/>
  <c r="D4" i="4"/>
  <c r="E4" i="4" s="1"/>
  <c r="D3" i="4"/>
  <c r="E3" i="4" s="1"/>
  <c r="E2" i="4"/>
  <c r="E1" i="4"/>
  <c r="I12" i="4"/>
  <c r="D12" i="4"/>
  <c r="B12" i="4"/>
  <c r="C12" i="4" s="1"/>
  <c r="E12" i="4" s="1"/>
  <c r="I11" i="4"/>
  <c r="D11" i="4"/>
  <c r="D13" i="4" s="1"/>
  <c r="D14" i="4" s="1"/>
  <c r="B11" i="4"/>
  <c r="B13" i="4" l="1"/>
  <c r="B14" i="4" s="1"/>
  <c r="I13" i="4"/>
  <c r="I14" i="4" s="1"/>
  <c r="C11" i="5"/>
  <c r="I13" i="5"/>
  <c r="I14" i="5" s="1"/>
  <c r="B13" i="5"/>
  <c r="B14" i="5" s="1"/>
  <c r="G13" i="4"/>
  <c r="G14" i="4" s="1"/>
  <c r="E11" i="5"/>
  <c r="F12" i="5"/>
  <c r="H12" i="5" s="1"/>
  <c r="C12" i="5"/>
  <c r="C13" i="5" s="1"/>
  <c r="C14" i="5" s="1"/>
  <c r="F11" i="5"/>
  <c r="J12" i="4"/>
  <c r="F11" i="4"/>
  <c r="C11" i="4"/>
  <c r="F12" i="4"/>
  <c r="H12" i="4" s="1"/>
  <c r="E27" i="2"/>
  <c r="F37" i="2"/>
  <c r="E21" i="2"/>
  <c r="F21" i="2" s="1"/>
  <c r="E20" i="2"/>
  <c r="F20" i="2" s="1"/>
  <c r="E19" i="2"/>
  <c r="F19" i="2" s="1"/>
  <c r="E18" i="2"/>
  <c r="F18" i="2" s="1"/>
  <c r="H37" i="2" l="1"/>
  <c r="E12" i="5"/>
  <c r="J12" i="5" s="1"/>
  <c r="J11" i="5"/>
  <c r="J13" i="5" s="1"/>
  <c r="J14" i="5" s="1"/>
  <c r="F13" i="5"/>
  <c r="F14" i="5" s="1"/>
  <c r="H11" i="5"/>
  <c r="H13" i="5" s="1"/>
  <c r="H14" i="5" s="1"/>
  <c r="F13" i="4"/>
  <c r="F14" i="4" s="1"/>
  <c r="E11" i="4"/>
  <c r="E13" i="4" s="1"/>
  <c r="E14" i="4" s="1"/>
  <c r="C13" i="4"/>
  <c r="C14" i="4" s="1"/>
  <c r="H11" i="4"/>
  <c r="H13" i="4" s="1"/>
  <c r="H14" i="4" s="1"/>
  <c r="F42" i="3"/>
  <c r="H42" i="3" s="1"/>
  <c r="F36" i="3"/>
  <c r="E20" i="3"/>
  <c r="E19" i="3"/>
  <c r="E18" i="3"/>
  <c r="E17" i="3"/>
  <c r="E42" i="2"/>
  <c r="F42" i="2" s="1"/>
  <c r="H42" i="2" s="1"/>
  <c r="E26" i="3"/>
  <c r="F26" i="3" s="1"/>
  <c r="F43" i="3"/>
  <c r="H43" i="3" s="1"/>
  <c r="F41" i="3"/>
  <c r="H41" i="3" s="1"/>
  <c r="F40" i="3"/>
  <c r="F33" i="3"/>
  <c r="H33" i="3" s="1"/>
  <c r="F32" i="3"/>
  <c r="H32" i="3" s="1"/>
  <c r="F31" i="3"/>
  <c r="H31" i="3" s="1"/>
  <c r="F30" i="3"/>
  <c r="F24" i="3"/>
  <c r="H24" i="3" s="1"/>
  <c r="F22" i="3"/>
  <c r="F51" i="2"/>
  <c r="F43" i="2"/>
  <c r="H43" i="2" s="1"/>
  <c r="F41" i="2"/>
  <c r="F34" i="2"/>
  <c r="H34" i="2" s="1"/>
  <c r="F33" i="2"/>
  <c r="H33" i="2" s="1"/>
  <c r="F32" i="2"/>
  <c r="H32" i="2" s="1"/>
  <c r="F31" i="2"/>
  <c r="F27" i="2"/>
  <c r="F25" i="2"/>
  <c r="F23" i="2"/>
  <c r="F22" i="2"/>
  <c r="H22" i="2" s="1"/>
  <c r="H21" i="2"/>
  <c r="H20" i="2"/>
  <c r="H19" i="2"/>
  <c r="H18" i="2"/>
  <c r="H17" i="2"/>
  <c r="F16" i="2"/>
  <c r="F15" i="2" s="1"/>
  <c r="H36" i="3" l="1"/>
  <c r="F35" i="3"/>
  <c r="F34" i="3" s="1"/>
  <c r="F18" i="3"/>
  <c r="H18" i="3" s="1"/>
  <c r="F19" i="3"/>
  <c r="H19" i="3" s="1"/>
  <c r="F17" i="3"/>
  <c r="F29" i="3"/>
  <c r="H29" i="3" s="1"/>
  <c r="H40" i="3"/>
  <c r="F39" i="3"/>
  <c r="F20" i="3"/>
  <c r="H20" i="3" s="1"/>
  <c r="H16" i="2"/>
  <c r="H15" i="2" s="1"/>
  <c r="H25" i="2"/>
  <c r="F24" i="2"/>
  <c r="H24" i="2" s="1"/>
  <c r="H31" i="2"/>
  <c r="H41" i="2"/>
  <c r="H51" i="2"/>
  <c r="H48" i="2"/>
  <c r="G23" i="2"/>
  <c r="F26" i="2"/>
  <c r="H26" i="2" s="1"/>
  <c r="H27" i="2"/>
  <c r="H36" i="2"/>
  <c r="H35" i="2"/>
  <c r="H30" i="3"/>
  <c r="H35" i="3"/>
  <c r="F25" i="3"/>
  <c r="H25" i="3" s="1"/>
  <c r="H26" i="3"/>
  <c r="G22" i="3"/>
  <c r="G13" i="3" s="1"/>
  <c r="G52" i="3" s="1"/>
  <c r="H48" i="3"/>
  <c r="E13" i="5"/>
  <c r="E14" i="5" s="1"/>
  <c r="J11" i="4"/>
  <c r="J13" i="4" s="1"/>
  <c r="J14" i="4" s="1"/>
  <c r="F23" i="3"/>
  <c r="H23" i="3" s="1"/>
  <c r="F14" i="3" l="1"/>
  <c r="F13" i="3"/>
  <c r="H17" i="3"/>
  <c r="H23" i="2"/>
  <c r="H14" i="2" s="1"/>
  <c r="G14" i="2"/>
  <c r="G52" i="2" s="1"/>
  <c r="F14" i="2"/>
  <c r="H39" i="2"/>
  <c r="H40" i="2"/>
  <c r="H30" i="2"/>
  <c r="H34" i="3"/>
  <c r="F38" i="3"/>
  <c r="H38" i="3" s="1"/>
  <c r="H39" i="3"/>
  <c r="H14" i="3"/>
  <c r="H22" i="3"/>
  <c r="F28" i="3"/>
  <c r="F27" i="3" l="1"/>
  <c r="H29" i="2"/>
  <c r="H28" i="2" s="1"/>
  <c r="H52" i="2" s="1"/>
  <c r="F28" i="2"/>
  <c r="F52" i="2" s="1"/>
  <c r="H13" i="3"/>
  <c r="H2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<sst xmlns="http://schemas.openxmlformats.org/spreadsheetml/2006/main" count="236" uniqueCount="101">
  <si>
    <t>№</t>
  </si>
  <si>
    <t>Статьи расходов</t>
  </si>
  <si>
    <t>Единица измерения</t>
  </si>
  <si>
    <t>Количество</t>
  </si>
  <si>
    <t>Всего, в тенге</t>
  </si>
  <si>
    <t>Источники финансирования</t>
  </si>
  <si>
    <t>Итого:</t>
  </si>
  <si>
    <t>Заявитель (собственный вклад)</t>
  </si>
  <si>
    <t>Приложение № 2 
к Договору о предоставлении государственного гранта 
от «___» ________ 202___ года №____</t>
  </si>
  <si>
    <t>к Договору о предоставлении государственного гранта</t>
  </si>
  <si>
    <t>Стоимость,
 в тенге</t>
  </si>
  <si>
    <t>Сумма гранта</t>
  </si>
  <si>
    <t xml:space="preserve">Административные расходы: </t>
  </si>
  <si>
    <t xml:space="preserve">Заработная плата, в том числе: </t>
  </si>
  <si>
    <t>Исполнительный директор</t>
  </si>
  <si>
    <t xml:space="preserve">месяц </t>
  </si>
  <si>
    <t>Менеджер проекта</t>
  </si>
  <si>
    <t>Финансовый менеджер</t>
  </si>
  <si>
    <t>месяц</t>
  </si>
  <si>
    <t>Расходные материалы и другие запасы, в том числе:</t>
  </si>
  <si>
    <t xml:space="preserve">услуга </t>
  </si>
  <si>
    <t>Канцелярские товары</t>
  </si>
  <si>
    <t>Материально-техническое обеспечение:</t>
  </si>
  <si>
    <t>Принтер МФУ</t>
  </si>
  <si>
    <t xml:space="preserve">штук </t>
  </si>
  <si>
    <t xml:space="preserve">Прямые расходы, в том числе: </t>
  </si>
  <si>
    <t>Задача 1. Определить уровень гражданского участия и расширение территории участия местных сообществ</t>
  </si>
  <si>
    <t>Расходы по оплате работ и услуг, оказываемых юридическими и физическими лицами, в том числе:</t>
  </si>
  <si>
    <t>Услуга эксперта по оценке вовлеченности граждан</t>
  </si>
  <si>
    <t xml:space="preserve">Услуга эксперта по оценке потребностей </t>
  </si>
  <si>
    <t xml:space="preserve">Услуга по переводу документов </t>
  </si>
  <si>
    <t xml:space="preserve">Услуга графической верстки документов </t>
  </si>
  <si>
    <t>Задача 2. Повысить потенциал НПО и инициативных групп для качественного вовлечения в процессы управления территориями и принятия решений</t>
  </si>
  <si>
    <t xml:space="preserve">Услуги экспертов онлайн обучения </t>
  </si>
  <si>
    <t xml:space="preserve">Задача 3. Содействовать в развитии гражданских инициатив </t>
  </si>
  <si>
    <t xml:space="preserve">Малые гранты </t>
  </si>
  <si>
    <t xml:space="preserve">Услуга грантового менеджера </t>
  </si>
  <si>
    <t>Услуги по мониторингу и оценки грантополучателей</t>
  </si>
  <si>
    <t>человек/дней</t>
  </si>
  <si>
    <t xml:space="preserve">билет </t>
  </si>
  <si>
    <t>сутки</t>
  </si>
  <si>
    <t xml:space="preserve">Мероприятие 2. Информационное сопровождение проекта </t>
  </si>
  <si>
    <t xml:space="preserve">Услуги СММ специалиста </t>
  </si>
  <si>
    <t>Грантополучатель:</t>
  </si>
  <si>
    <t>МП</t>
  </si>
  <si>
    <t>Грантодатель:</t>
  </si>
  <si>
    <t>НАО «Центр поддержки гражданских инициатив» </t>
  </si>
  <si>
    <t>Председатель Правления </t>
  </si>
  <si>
    <t>Заместитель Председателя Правления</t>
  </si>
  <si>
    <t>Директор Департамента финансового мониторинга и контроля</t>
  </si>
  <si>
    <t>_________________ Еспенова М.М.</t>
  </si>
  <si>
    <t>Смартфон</t>
  </si>
  <si>
    <t xml:space="preserve">Услуга проектного ассистента </t>
  </si>
  <si>
    <t>Услуга по проведению meet up встреч в региогах</t>
  </si>
  <si>
    <t>от «14» марта 2024 года №22</t>
  </si>
  <si>
    <t>оклад</t>
  </si>
  <si>
    <t>ОПВ</t>
  </si>
  <si>
    <t>ИПН</t>
  </si>
  <si>
    <t>ВОСМС</t>
  </si>
  <si>
    <t>к выдаче</t>
  </si>
  <si>
    <t>СО</t>
  </si>
  <si>
    <t>ОПВР</t>
  </si>
  <si>
    <t>СН</t>
  </si>
  <si>
    <t>ОСМС</t>
  </si>
  <si>
    <t>итого</t>
  </si>
  <si>
    <t>ООСМС</t>
  </si>
  <si>
    <t xml:space="preserve">СО </t>
  </si>
  <si>
    <t>______________ Жампеисова А.О.</t>
  </si>
  <si>
    <t>Главный менеджер Департамента финансового мониторинга и контроля</t>
  </si>
  <si>
    <t>______________  Жаксыбергенова К.Ж.</t>
  </si>
  <si>
    <t>______________  Балтаев Г.Т.</t>
  </si>
  <si>
    <t>______________  Диас Л.</t>
  </si>
  <si>
    <r>
      <t xml:space="preserve">Грантополучатель: </t>
    </r>
    <r>
      <rPr>
        <sz val="12"/>
        <color theme="1"/>
        <rFont val="Times New Roman"/>
        <family val="1"/>
      </rPr>
      <t xml:space="preserve">ОФ "КАМЕДА" </t>
    </r>
  </si>
  <si>
    <r>
      <t xml:space="preserve">Тема гранта: </t>
    </r>
    <r>
      <rPr>
        <sz val="12"/>
        <color theme="1"/>
        <rFont val="Times New Roman"/>
        <family val="1"/>
      </rPr>
      <t>"Жергілікті бастамалар - Инициативы на местах"</t>
    </r>
  </si>
  <si>
    <r>
      <t xml:space="preserve">Сумма гранта: </t>
    </r>
    <r>
      <rPr>
        <sz val="12"/>
        <color theme="1"/>
        <rFont val="Times New Roman"/>
        <family val="1"/>
      </rPr>
      <t>31 405 000 (Тридцать один миллион четыреста пять тысяч) тенге</t>
    </r>
  </si>
  <si>
    <r>
      <t xml:space="preserve">Сумма гранта: </t>
    </r>
    <r>
      <rPr>
        <sz val="12"/>
        <color theme="1"/>
        <rFont val="Times New Roman"/>
        <family val="1"/>
        <charset val="204"/>
      </rPr>
      <t>31 405 000 (Тридцать один миллион четыреста пять тысяч) тенге</t>
    </r>
  </si>
  <si>
    <t xml:space="preserve">Социальные отчисления </t>
  </si>
  <si>
    <t xml:space="preserve">Социальный налог </t>
  </si>
  <si>
    <t xml:space="preserve">Отчисления на обязательное медицинское страхование </t>
  </si>
  <si>
    <t>гранты</t>
  </si>
  <si>
    <t>Услуги по мониторингу и оценке грантополучателей</t>
  </si>
  <si>
    <t>Суточные (2 командировки * 1 человек * 3 дня)</t>
  </si>
  <si>
    <t>Проживание (2 командировки * 1 человек * 2 суток)</t>
  </si>
  <si>
    <t>Банковские услуги</t>
  </si>
  <si>
    <t xml:space="preserve">Аренда помещения </t>
  </si>
  <si>
    <t xml:space="preserve">Обязательные пенсионные взносы работодателя </t>
  </si>
  <si>
    <t>Смета расходов по реализации социального проекта на 2025 год</t>
  </si>
  <si>
    <t>Смета расходов по реализации социального проекта на 2024 год</t>
  </si>
  <si>
    <t xml:space="preserve">Банковские услуги </t>
  </si>
  <si>
    <t>Аренда помещения</t>
  </si>
  <si>
    <t>Проезд (2 командировки * 1 человек * 2 билета)</t>
  </si>
  <si>
    <t>Проезд (2 командировки*1 человек*2 билета)</t>
  </si>
  <si>
    <t xml:space="preserve">Информационное сопровождение проекта </t>
  </si>
  <si>
    <t>Расходы на служебные командировки в г. Кокшетау и г. Жезказган:</t>
  </si>
  <si>
    <t>Прямые расходы</t>
  </si>
  <si>
    <t>Административные расходы</t>
  </si>
  <si>
    <t>Материально-техническое обеспечение</t>
  </si>
  <si>
    <t xml:space="preserve">Директор Департамента финансового контроля и мониторинга  </t>
  </si>
  <si>
    <t xml:space="preserve">Главный менеджер Департамента финансового контроля и мониторинга  </t>
  </si>
  <si>
    <t xml:space="preserve">Услуга по разработке 2 видео материалов </t>
  </si>
  <si>
    <t>Расходы на служебные командировки в г. Туркестан и г. Кызылорда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</si>
</sst>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4F5F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7">
    <xf numFmtId="0" fontId="0" fillId="0" borderId="0" xfId="0"/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top"/>
    </xf>
    <xf numFmtId="3" fontId="1" fillId="3" borderId="5" xfId="0" applyNumberFormat="1" applyFont="1" applyFill="1" applyBorder="1" applyAlignment="1">
      <alignment horizontal="right" vertical="top"/>
    </xf>
    <xf numFmtId="0" fontId="4" fillId="3" borderId="4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right" vertical="top" wrapText="1"/>
    </xf>
    <xf numFmtId="3" fontId="4" fillId="3" borderId="1" xfId="0" applyNumberFormat="1" applyFont="1" applyFill="1" applyBorder="1" applyAlignment="1">
      <alignment horizontal="right" vertical="top"/>
    </xf>
    <xf numFmtId="0" fontId="4" fillId="3" borderId="0" xfId="0" applyFont="1" applyFill="1" applyAlignment="1">
      <alignment vertical="top"/>
    </xf>
    <xf numFmtId="0" fontId="4" fillId="3" borderId="1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/>
    </xf>
    <xf numFmtId="164" fontId="4" fillId="3" borderId="1" xfId="1" applyNumberFormat="1" applyFont="1" applyFill="1" applyBorder="1" applyAlignment="1">
      <alignment horizontal="right" vertical="top"/>
    </xf>
    <xf numFmtId="0" fontId="4" fillId="3" borderId="0" xfId="0" applyFont="1" applyFill="1" applyAlignment="1">
      <alignment horizontal="right" vertical="top"/>
    </xf>
    <xf numFmtId="3" fontId="4" fillId="5" borderId="1" xfId="0" applyNumberFormat="1" applyFont="1" applyFill="1" applyBorder="1" applyAlignment="1">
      <alignment horizontal="right" vertical="top"/>
    </xf>
    <xf numFmtId="0" fontId="4" fillId="5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vertical="top"/>
    </xf>
    <xf numFmtId="0" fontId="7" fillId="3" borderId="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/>
    </xf>
    <xf numFmtId="3" fontId="2" fillId="3" borderId="5" xfId="0" applyNumberFormat="1" applyFont="1" applyFill="1" applyBorder="1" applyAlignment="1">
      <alignment horizontal="right" vertical="top"/>
    </xf>
    <xf numFmtId="3" fontId="2" fillId="4" borderId="1" xfId="0" applyNumberFormat="1" applyFont="1" applyFill="1" applyBorder="1" applyAlignment="1">
      <alignment horizontal="right"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0" fontId="8" fillId="3" borderId="4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top" wrapText="1"/>
    </xf>
    <xf numFmtId="1" fontId="1" fillId="3" borderId="4" xfId="0" quotePrefix="1" applyNumberFormat="1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top" wrapText="1"/>
    </xf>
    <xf numFmtId="1" fontId="1" fillId="3" borderId="8" xfId="0" quotePrefix="1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1" fontId="1" fillId="3" borderId="1" xfId="0" quotePrefix="1" applyNumberFormat="1" applyFont="1" applyFill="1" applyBorder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2" fillId="4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/>
    </xf>
    <xf numFmtId="0" fontId="1" fillId="4" borderId="4" xfId="0" applyFont="1" applyFill="1" applyBorder="1" applyAlignment="1">
      <alignment horizontal="center" vertical="top"/>
    </xf>
    <xf numFmtId="3" fontId="2" fillId="4" borderId="5" xfId="0" applyNumberFormat="1" applyFont="1" applyFill="1" applyBorder="1" applyAlignment="1">
      <alignment horizontal="right" vertical="top"/>
    </xf>
    <xf numFmtId="0" fontId="9" fillId="3" borderId="4" xfId="0" applyFont="1" applyFill="1" applyBorder="1" applyAlignment="1">
      <alignment horizontal="center" vertical="top"/>
    </xf>
    <xf numFmtId="3" fontId="9" fillId="3" borderId="5" xfId="0" applyNumberFormat="1" applyFont="1" applyFill="1" applyBorder="1" applyAlignment="1">
      <alignment horizontal="right" vertical="top"/>
    </xf>
    <xf numFmtId="0" fontId="9" fillId="3" borderId="4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vertical="top" wrapText="1"/>
    </xf>
    <xf numFmtId="0" fontId="10" fillId="6" borderId="9" xfId="0" applyFont="1" applyFill="1" applyBorder="1" applyAlignment="1">
      <alignment vertical="top" wrapText="1"/>
    </xf>
    <xf numFmtId="0" fontId="10" fillId="6" borderId="9" xfId="0" applyFont="1" applyFill="1" applyBorder="1" applyAlignment="1">
      <alignment horizontal="center" vertical="top" wrapText="1"/>
    </xf>
    <xf numFmtId="3" fontId="2" fillId="6" borderId="10" xfId="0" applyNumberFormat="1" applyFont="1" applyFill="1" applyBorder="1" applyAlignment="1">
      <alignment horizontal="right" vertical="top" wrapText="1"/>
    </xf>
    <xf numFmtId="0" fontId="9" fillId="3" borderId="0" xfId="0" applyFont="1" applyFill="1" applyAlignment="1">
      <alignment vertical="top"/>
    </xf>
    <xf numFmtId="3" fontId="4" fillId="3" borderId="1" xfId="0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top" wrapText="1"/>
    </xf>
    <xf numFmtId="3" fontId="1" fillId="3" borderId="1" xfId="0" applyNumberFormat="1" applyFont="1" applyFill="1" applyBorder="1" applyAlignment="1">
      <alignment horizontal="right" vertical="top"/>
    </xf>
    <xf numFmtId="0" fontId="1" fillId="3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3" fontId="4" fillId="3" borderId="1" xfId="0" applyNumberFormat="1" applyFont="1" applyFill="1" applyBorder="1" applyAlignment="1">
      <alignment horizontal="center" vertical="top" wrapText="1"/>
    </xf>
    <xf numFmtId="3" fontId="4" fillId="3" borderId="1" xfId="0" applyNumberFormat="1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/>
    </xf>
    <xf numFmtId="164" fontId="4" fillId="3" borderId="1" xfId="1" applyNumberFormat="1" applyFont="1" applyFill="1" applyBorder="1" applyAlignment="1"/>
    <xf numFmtId="3" fontId="4" fillId="7" borderId="1" xfId="0" applyNumberFormat="1" applyFont="1" applyFill="1" applyBorder="1" applyAlignment="1">
      <alignment horizontal="center" vertical="top"/>
    </xf>
    <xf numFmtId="3" fontId="4" fillId="7" borderId="1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left" vertical="top" wrapText="1"/>
    </xf>
    <xf numFmtId="3" fontId="4" fillId="3" borderId="11" xfId="0" applyNumberFormat="1" applyFont="1" applyFill="1" applyBorder="1" applyAlignment="1">
      <alignment horizontal="left" vertical="top"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center" vertical="top"/>
    </xf>
    <xf numFmtId="0" fontId="11" fillId="3" borderId="0" xfId="0" applyFont="1" applyFill="1" applyAlignment="1">
      <alignment vertical="top" wrapText="1"/>
    </xf>
    <xf numFmtId="0" fontId="1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13" fillId="3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3" fontId="8" fillId="3" borderId="0" xfId="0" applyNumberFormat="1" applyFont="1" applyFill="1" applyAlignment="1">
      <alignment vertical="top"/>
    </xf>
    <xf numFmtId="0" fontId="1" fillId="3" borderId="0" xfId="0" applyFont="1" applyFill="1" applyAlignment="1">
      <alignment horizontal="center" vertical="top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4" borderId="4" xfId="0" applyNumberFormat="1" applyFont="1" applyFill="1" applyBorder="1" applyAlignment="1">
      <alignment horizontal="right" vertical="top"/>
    </xf>
    <xf numFmtId="3" fontId="1" fillId="3" borderId="4" xfId="0" applyNumberFormat="1" applyFont="1" applyFill="1" applyBorder="1" applyAlignment="1">
      <alignment horizontal="right" vertical="top"/>
    </xf>
    <xf numFmtId="3" fontId="1" fillId="3" borderId="4" xfId="1" applyNumberFormat="1" applyFont="1" applyFill="1" applyBorder="1" applyAlignment="1">
      <alignment horizontal="right" vertical="top"/>
    </xf>
    <xf numFmtId="3" fontId="2" fillId="3" borderId="4" xfId="1" applyNumberFormat="1" applyFont="1" applyFill="1" applyBorder="1" applyAlignment="1">
      <alignment horizontal="right" vertical="top"/>
    </xf>
    <xf numFmtId="3" fontId="2" fillId="3" borderId="4" xfId="0" applyNumberFormat="1" applyFont="1" applyFill="1" applyBorder="1" applyAlignment="1">
      <alignment horizontal="right" vertical="top"/>
    </xf>
    <xf numFmtId="3" fontId="2" fillId="4" borderId="4" xfId="0" applyNumberFormat="1" applyFont="1" applyFill="1" applyBorder="1" applyAlignment="1">
      <alignment horizontal="right" vertical="top"/>
    </xf>
    <xf numFmtId="3" fontId="9" fillId="3" borderId="4" xfId="0" applyNumberFormat="1" applyFont="1" applyFill="1" applyBorder="1" applyAlignment="1">
      <alignment horizontal="right" vertical="top"/>
    </xf>
    <xf numFmtId="3" fontId="1" fillId="3" borderId="8" xfId="0" applyNumberFormat="1" applyFont="1" applyFill="1" applyBorder="1" applyAlignment="1">
      <alignment horizontal="right" vertical="top"/>
    </xf>
    <xf numFmtId="3" fontId="10" fillId="6" borderId="9" xfId="0" applyNumberFormat="1" applyFont="1" applyFill="1" applyBorder="1" applyAlignment="1">
      <alignment horizontal="right" vertical="top" wrapText="1"/>
    </xf>
    <xf numFmtId="0" fontId="13" fillId="3" borderId="0" xfId="0" applyFont="1" applyFill="1" applyAlignment="1"/>
    <xf numFmtId="0" fontId="2" fillId="2" borderId="1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1" fillId="4" borderId="4" xfId="0" applyFont="1" applyFill="1" applyBorder="1" applyAlignment="1"/>
    <xf numFmtId="0" fontId="1" fillId="4" borderId="4" xfId="0" applyFont="1" applyFill="1" applyBorder="1" applyAlignment="1">
      <alignment horizontal="center"/>
    </xf>
    <xf numFmtId="3" fontId="2" fillId="4" borderId="5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 wrapText="1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wrapText="1"/>
    </xf>
    <xf numFmtId="0" fontId="1" fillId="3" borderId="4" xfId="0" applyFont="1" applyFill="1" applyBorder="1" applyAlignment="1"/>
    <xf numFmtId="0" fontId="1" fillId="3" borderId="4" xfId="0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wrapText="1"/>
    </xf>
    <xf numFmtId="164" fontId="1" fillId="3" borderId="4" xfId="1" applyNumberFormat="1" applyFont="1" applyFill="1" applyBorder="1" applyAlignment="1"/>
    <xf numFmtId="3" fontId="1" fillId="3" borderId="5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3" fontId="1" fillId="4" borderId="1" xfId="0" applyNumberFormat="1" applyFont="1" applyFill="1" applyBorder="1" applyAlignment="1">
      <alignment horizontal="right" wrapText="1"/>
    </xf>
    <xf numFmtId="164" fontId="2" fillId="3" borderId="4" xfId="1" applyNumberFormat="1" applyFont="1" applyFill="1" applyBorder="1" applyAlignment="1"/>
    <xf numFmtId="0" fontId="2" fillId="2" borderId="1" xfId="0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3" fontId="2" fillId="3" borderId="4" xfId="0" applyNumberFormat="1" applyFont="1" applyFill="1" applyBorder="1" applyAlignment="1"/>
    <xf numFmtId="3" fontId="1" fillId="3" borderId="4" xfId="0" applyNumberFormat="1" applyFont="1" applyFill="1" applyBorder="1" applyAlignment="1"/>
    <xf numFmtId="3" fontId="2" fillId="4" borderId="4" xfId="0" applyNumberFormat="1" applyFont="1" applyFill="1" applyBorder="1" applyAlignment="1"/>
    <xf numFmtId="3" fontId="1" fillId="3" borderId="1" xfId="0" applyNumberFormat="1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wrapText="1"/>
    </xf>
    <xf numFmtId="3" fontId="9" fillId="3" borderId="4" xfId="0" applyNumberFormat="1" applyFont="1" applyFill="1" applyBorder="1" applyAlignment="1"/>
    <xf numFmtId="3" fontId="9" fillId="3" borderId="5" xfId="0" applyNumberFormat="1" applyFont="1" applyFill="1" applyBorder="1" applyAlignment="1">
      <alignment horizontal="right"/>
    </xf>
    <xf numFmtId="0" fontId="9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4" fillId="3" borderId="0" xfId="0" applyFont="1" applyFill="1" applyAlignment="1"/>
    <xf numFmtId="0" fontId="1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center" wrapText="1"/>
    </xf>
    <xf numFmtId="1" fontId="1" fillId="3" borderId="4" xfId="0" quotePrefix="1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center" wrapText="1"/>
    </xf>
    <xf numFmtId="1" fontId="1" fillId="3" borderId="8" xfId="0" quotePrefix="1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/>
    <xf numFmtId="0" fontId="3" fillId="3" borderId="1" xfId="0" applyFont="1" applyFill="1" applyBorder="1" applyAlignment="1">
      <alignment horizontal="center" wrapText="1"/>
    </xf>
    <xf numFmtId="1" fontId="1" fillId="3" borderId="1" xfId="0" quotePrefix="1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/>
    <xf numFmtId="3" fontId="1" fillId="4" borderId="4" xfId="0" applyNumberFormat="1" applyFont="1" applyFill="1" applyBorder="1" applyAlignment="1"/>
    <xf numFmtId="0" fontId="2" fillId="6" borderId="9" xfId="0" applyFont="1" applyFill="1" applyBorder="1" applyAlignment="1">
      <alignment horizontal="center" wrapText="1"/>
    </xf>
    <xf numFmtId="0" fontId="2" fillId="6" borderId="9" xfId="0" applyFont="1" applyFill="1" applyBorder="1" applyAlignment="1">
      <alignment wrapText="1"/>
    </xf>
    <xf numFmtId="0" fontId="10" fillId="6" borderId="9" xfId="0" applyFont="1" applyFill="1" applyBorder="1" applyAlignment="1">
      <alignment wrapText="1"/>
    </xf>
    <xf numFmtId="0" fontId="10" fillId="6" borderId="9" xfId="0" applyFont="1" applyFill="1" applyBorder="1" applyAlignment="1">
      <alignment horizontal="center" wrapText="1"/>
    </xf>
    <xf numFmtId="3" fontId="2" fillId="6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right" vertical="top" wrapText="1"/>
    </xf>
    <xf numFmtId="0" fontId="2" fillId="3" borderId="0" xfId="0" applyFont="1" applyFill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/>
    <xf numFmtId="0" fontId="9" fillId="3" borderId="0" xfId="0" applyFont="1" applyFill="1" applyAlignment="1">
      <alignment horizontal="left" vertical="top"/>
    </xf>
    <xf numFmtId="0" fontId="6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9"/>
  <sheetViews>
    <sheetView view="pageBreakPreview" topLeftCell="A27" zoomScale="70" zoomScaleNormal="70" zoomScaleSheetLayoutView="70" workbookViewId="0">
      <selection activeCell="B50" sqref="B50"/>
    </sheetView>
  </sheetViews>
  <sheetFormatPr defaultColWidth="11.5703125" defaultRowHeight="15.75" x14ac:dyDescent="0.25"/>
  <cols>
    <col min="1" max="1" width="4.42578125" style="66" customWidth="1"/>
    <col min="2" max="2" width="57.140625" style="68" customWidth="1"/>
    <col min="3" max="3" width="15.7109375" style="66" customWidth="1"/>
    <col min="4" max="4" width="16" style="66" customWidth="1"/>
    <col min="5" max="5" width="14.42578125" style="66" customWidth="1"/>
    <col min="6" max="8" width="17.28515625" style="66" customWidth="1"/>
    <col min="9" max="16384" width="11.5703125" style="73"/>
  </cols>
  <sheetData>
    <row r="1" spans="1:8" x14ac:dyDescent="0.25">
      <c r="A1" s="141" t="s">
        <v>8</v>
      </c>
      <c r="B1" s="141"/>
      <c r="C1" s="141"/>
      <c r="D1" s="141"/>
      <c r="E1" s="141"/>
      <c r="F1" s="141"/>
      <c r="G1" s="141"/>
      <c r="H1" s="141"/>
    </row>
    <row r="2" spans="1:8" x14ac:dyDescent="0.25">
      <c r="A2" s="141" t="s">
        <v>9</v>
      </c>
      <c r="B2" s="141"/>
      <c r="C2" s="141"/>
      <c r="D2" s="141"/>
      <c r="E2" s="141"/>
      <c r="F2" s="141"/>
      <c r="G2" s="141"/>
      <c r="H2" s="141"/>
    </row>
    <row r="3" spans="1:8" x14ac:dyDescent="0.25">
      <c r="A3" s="141" t="s">
        <v>54</v>
      </c>
      <c r="B3" s="141"/>
      <c r="C3" s="141"/>
      <c r="D3" s="141"/>
      <c r="E3" s="141"/>
      <c r="F3" s="141"/>
      <c r="G3" s="141"/>
      <c r="H3" s="141"/>
    </row>
    <row r="4" spans="1:8" x14ac:dyDescent="0.25">
      <c r="A4" s="67"/>
    </row>
    <row r="5" spans="1:8" x14ac:dyDescent="0.25">
      <c r="A5" s="142" t="s">
        <v>87</v>
      </c>
      <c r="B5" s="142"/>
      <c r="C5" s="142"/>
      <c r="D5" s="142"/>
      <c r="E5" s="142"/>
      <c r="F5" s="142"/>
      <c r="G5" s="142"/>
      <c r="H5" s="142"/>
    </row>
    <row r="6" spans="1:8" x14ac:dyDescent="0.25">
      <c r="A6" s="69"/>
      <c r="B6" s="70"/>
      <c r="C6" s="71"/>
      <c r="D6" s="71"/>
      <c r="E6" s="71"/>
      <c r="F6" s="71"/>
      <c r="G6" s="71"/>
    </row>
    <row r="7" spans="1:8" x14ac:dyDescent="0.25">
      <c r="A7" s="140" t="s">
        <v>72</v>
      </c>
      <c r="B7" s="140"/>
      <c r="C7" s="140"/>
      <c r="D7" s="140"/>
      <c r="E7" s="140"/>
      <c r="F7" s="140"/>
      <c r="G7" s="140"/>
      <c r="H7" s="140"/>
    </row>
    <row r="8" spans="1:8" x14ac:dyDescent="0.25">
      <c r="A8" s="140" t="s">
        <v>73</v>
      </c>
      <c r="B8" s="140"/>
      <c r="C8" s="140"/>
      <c r="D8" s="140"/>
      <c r="E8" s="140"/>
      <c r="F8" s="140"/>
      <c r="G8" s="140"/>
      <c r="H8" s="140"/>
    </row>
    <row r="9" spans="1:8" x14ac:dyDescent="0.25">
      <c r="A9" s="140" t="s">
        <v>75</v>
      </c>
      <c r="B9" s="140"/>
      <c r="C9" s="140"/>
      <c r="D9" s="140"/>
      <c r="E9" s="140"/>
      <c r="F9" s="140"/>
      <c r="G9" s="140"/>
      <c r="H9" s="140"/>
    </row>
    <row r="10" spans="1:8" s="87" customFormat="1" x14ac:dyDescent="0.25">
      <c r="A10" s="143" t="s">
        <v>0</v>
      </c>
      <c r="B10" s="143" t="s">
        <v>1</v>
      </c>
      <c r="C10" s="143" t="s">
        <v>2</v>
      </c>
      <c r="D10" s="143" t="s">
        <v>3</v>
      </c>
      <c r="E10" s="147" t="s">
        <v>10</v>
      </c>
      <c r="F10" s="148" t="s">
        <v>4</v>
      </c>
      <c r="G10" s="150" t="s">
        <v>5</v>
      </c>
      <c r="H10" s="151"/>
    </row>
    <row r="11" spans="1:8" s="87" customFormat="1" ht="47.25" x14ac:dyDescent="0.25">
      <c r="A11" s="144"/>
      <c r="B11" s="145"/>
      <c r="C11" s="144"/>
      <c r="D11" s="146"/>
      <c r="E11" s="144"/>
      <c r="F11" s="149"/>
      <c r="G11" s="88" t="s">
        <v>7</v>
      </c>
      <c r="H11" s="139" t="s">
        <v>11</v>
      </c>
    </row>
    <row r="12" spans="1:8" s="87" customFormat="1" ht="19.5" customHeight="1" x14ac:dyDescent="0.25">
      <c r="A12" s="89">
        <v>1</v>
      </c>
      <c r="B12" s="90">
        <v>2</v>
      </c>
      <c r="C12" s="89">
        <v>3</v>
      </c>
      <c r="D12" s="89">
        <v>4</v>
      </c>
      <c r="E12" s="89">
        <v>5</v>
      </c>
      <c r="F12" s="91">
        <v>6</v>
      </c>
      <c r="G12" s="88">
        <v>7</v>
      </c>
      <c r="H12" s="88">
        <v>8</v>
      </c>
    </row>
    <row r="13" spans="1:8" s="87" customFormat="1" ht="19.5" customHeight="1" x14ac:dyDescent="0.25">
      <c r="A13" s="92">
        <v>1</v>
      </c>
      <c r="B13" s="93" t="s">
        <v>95</v>
      </c>
      <c r="C13" s="94"/>
      <c r="D13" s="95"/>
      <c r="E13" s="94"/>
      <c r="F13" s="96">
        <f>SUM(F14+F21+F22+F23)</f>
        <v>11652520</v>
      </c>
      <c r="G13" s="96">
        <f>SUM(G14+G21+G22+G23)</f>
        <v>8000000</v>
      </c>
      <c r="H13" s="97">
        <f>F13-G13</f>
        <v>3652520</v>
      </c>
    </row>
    <row r="14" spans="1:8" s="87" customFormat="1" ht="19.5" customHeight="1" x14ac:dyDescent="0.25">
      <c r="A14" s="98"/>
      <c r="B14" s="99" t="s">
        <v>13</v>
      </c>
      <c r="C14" s="100"/>
      <c r="D14" s="101"/>
      <c r="E14" s="100"/>
      <c r="F14" s="102">
        <f>SUM(F15:F20)</f>
        <v>3587520</v>
      </c>
      <c r="G14" s="102">
        <f>SUM(G15:G20)</f>
        <v>0</v>
      </c>
      <c r="H14" s="97">
        <f t="shared" ref="H14:H51" si="0">F14-G14</f>
        <v>3587520</v>
      </c>
    </row>
    <row r="15" spans="1:8" s="87" customFormat="1" ht="16.5" customHeight="1" x14ac:dyDescent="0.25">
      <c r="A15" s="101"/>
      <c r="B15" s="103" t="s">
        <v>16</v>
      </c>
      <c r="C15" s="101" t="s">
        <v>15</v>
      </c>
      <c r="D15" s="101">
        <v>8</v>
      </c>
      <c r="E15" s="104">
        <v>200000</v>
      </c>
      <c r="F15" s="105">
        <f>SUM(D15*E15)</f>
        <v>1600000</v>
      </c>
      <c r="G15" s="106"/>
      <c r="H15" s="107">
        <f t="shared" si="0"/>
        <v>1600000</v>
      </c>
    </row>
    <row r="16" spans="1:8" s="87" customFormat="1" ht="16.5" customHeight="1" x14ac:dyDescent="0.25">
      <c r="A16" s="101"/>
      <c r="B16" s="103" t="s">
        <v>17</v>
      </c>
      <c r="C16" s="101" t="s">
        <v>15</v>
      </c>
      <c r="D16" s="101">
        <v>8</v>
      </c>
      <c r="E16" s="104">
        <v>200000</v>
      </c>
      <c r="F16" s="105">
        <f t="shared" ref="F16:F20" si="1">SUM(D16*E16)</f>
        <v>1600000</v>
      </c>
      <c r="G16" s="106"/>
      <c r="H16" s="107">
        <f t="shared" si="0"/>
        <v>1600000</v>
      </c>
    </row>
    <row r="17" spans="1:8" s="87" customFormat="1" ht="16.5" customHeight="1" x14ac:dyDescent="0.25">
      <c r="A17" s="101"/>
      <c r="B17" s="103" t="s">
        <v>76</v>
      </c>
      <c r="C17" s="101" t="s">
        <v>18</v>
      </c>
      <c r="D17" s="101">
        <v>8</v>
      </c>
      <c r="E17" s="104">
        <f>6300+6300</f>
        <v>12600</v>
      </c>
      <c r="F17" s="105">
        <f t="shared" si="1"/>
        <v>100800</v>
      </c>
      <c r="G17" s="106"/>
      <c r="H17" s="107">
        <f t="shared" si="0"/>
        <v>100800</v>
      </c>
    </row>
    <row r="18" spans="1:8" s="87" customFormat="1" ht="16.5" customHeight="1" x14ac:dyDescent="0.25">
      <c r="A18" s="101"/>
      <c r="B18" s="103" t="s">
        <v>77</v>
      </c>
      <c r="C18" s="101" t="s">
        <v>18</v>
      </c>
      <c r="D18" s="101">
        <v>8</v>
      </c>
      <c r="E18" s="104">
        <f>10420+10420</f>
        <v>20840</v>
      </c>
      <c r="F18" s="105">
        <f t="shared" si="1"/>
        <v>166720</v>
      </c>
      <c r="G18" s="106"/>
      <c r="H18" s="107">
        <f t="shared" si="0"/>
        <v>166720</v>
      </c>
    </row>
    <row r="19" spans="1:8" s="87" customFormat="1" ht="16.5" customHeight="1" x14ac:dyDescent="0.25">
      <c r="A19" s="101"/>
      <c r="B19" s="103" t="s">
        <v>85</v>
      </c>
      <c r="C19" s="101" t="s">
        <v>18</v>
      </c>
      <c r="D19" s="101">
        <v>8</v>
      </c>
      <c r="E19" s="104">
        <f>3000</f>
        <v>3000</v>
      </c>
      <c r="F19" s="105">
        <f t="shared" si="1"/>
        <v>24000</v>
      </c>
      <c r="G19" s="106"/>
      <c r="H19" s="107">
        <f t="shared" si="0"/>
        <v>24000</v>
      </c>
    </row>
    <row r="20" spans="1:8" s="87" customFormat="1" ht="16.5" customHeight="1" x14ac:dyDescent="0.25">
      <c r="A20" s="101"/>
      <c r="B20" s="103" t="s">
        <v>78</v>
      </c>
      <c r="C20" s="101" t="s">
        <v>18</v>
      </c>
      <c r="D20" s="101">
        <v>8</v>
      </c>
      <c r="E20" s="104">
        <f>12000</f>
        <v>12000</v>
      </c>
      <c r="F20" s="105">
        <f t="shared" si="1"/>
        <v>96000</v>
      </c>
      <c r="G20" s="106"/>
      <c r="H20" s="107">
        <f t="shared" si="0"/>
        <v>96000</v>
      </c>
    </row>
    <row r="21" spans="1:8" s="87" customFormat="1" ht="16.5" customHeight="1" x14ac:dyDescent="0.25">
      <c r="A21" s="98"/>
      <c r="B21" s="99" t="s">
        <v>88</v>
      </c>
      <c r="C21" s="98" t="s">
        <v>18</v>
      </c>
      <c r="D21" s="101">
        <v>8</v>
      </c>
      <c r="E21" s="108">
        <v>5000</v>
      </c>
      <c r="F21" s="102">
        <f>D21*E21</f>
        <v>40000</v>
      </c>
      <c r="G21" s="109"/>
      <c r="H21" s="97">
        <f t="shared" si="0"/>
        <v>40000</v>
      </c>
    </row>
    <row r="22" spans="1:8" s="87" customFormat="1" ht="16.5" customHeight="1" x14ac:dyDescent="0.25">
      <c r="A22" s="98"/>
      <c r="B22" s="99" t="s">
        <v>89</v>
      </c>
      <c r="C22" s="98" t="s">
        <v>18</v>
      </c>
      <c r="D22" s="101">
        <v>8</v>
      </c>
      <c r="E22" s="108">
        <v>1000000</v>
      </c>
      <c r="F22" s="102">
        <f>SUM(D22*E22)</f>
        <v>8000000</v>
      </c>
      <c r="G22" s="110">
        <f>F22</f>
        <v>8000000</v>
      </c>
      <c r="H22" s="97">
        <f t="shared" si="0"/>
        <v>0</v>
      </c>
    </row>
    <row r="23" spans="1:8" s="87" customFormat="1" ht="14.25" customHeight="1" x14ac:dyDescent="0.25">
      <c r="A23" s="98"/>
      <c r="B23" s="99" t="s">
        <v>19</v>
      </c>
      <c r="C23" s="98"/>
      <c r="D23" s="98"/>
      <c r="E23" s="111"/>
      <c r="F23" s="102">
        <f>SUM(F24:F24)</f>
        <v>25000</v>
      </c>
      <c r="G23" s="109"/>
      <c r="H23" s="97">
        <f t="shared" si="0"/>
        <v>25000</v>
      </c>
    </row>
    <row r="24" spans="1:8" s="87" customFormat="1" ht="16.5" customHeight="1" x14ac:dyDescent="0.25">
      <c r="A24" s="101"/>
      <c r="B24" s="103" t="s">
        <v>21</v>
      </c>
      <c r="C24" s="101" t="s">
        <v>18</v>
      </c>
      <c r="D24" s="101">
        <v>1</v>
      </c>
      <c r="E24" s="112">
        <v>25000</v>
      </c>
      <c r="F24" s="105">
        <f>D24*E24</f>
        <v>25000</v>
      </c>
      <c r="G24" s="106"/>
      <c r="H24" s="107">
        <f t="shared" si="0"/>
        <v>25000</v>
      </c>
    </row>
    <row r="25" spans="1:8" s="87" customFormat="1" ht="16.5" customHeight="1" x14ac:dyDescent="0.25">
      <c r="A25" s="92">
        <v>2</v>
      </c>
      <c r="B25" s="93" t="s">
        <v>96</v>
      </c>
      <c r="C25" s="92"/>
      <c r="D25" s="92"/>
      <c r="E25" s="113"/>
      <c r="F25" s="96">
        <f>SUM(F26:F26)</f>
        <v>150000</v>
      </c>
      <c r="G25" s="96">
        <f>SUM(G26:G26)</f>
        <v>0</v>
      </c>
      <c r="H25" s="97">
        <f t="shared" si="0"/>
        <v>150000</v>
      </c>
    </row>
    <row r="26" spans="1:8" s="87" customFormat="1" ht="16.5" customHeight="1" x14ac:dyDescent="0.25">
      <c r="A26" s="101"/>
      <c r="B26" s="103" t="s">
        <v>51</v>
      </c>
      <c r="C26" s="101" t="s">
        <v>24</v>
      </c>
      <c r="D26" s="101">
        <v>1</v>
      </c>
      <c r="E26" s="112">
        <f>150000</f>
        <v>150000</v>
      </c>
      <c r="F26" s="105">
        <f>SUM(D26*E26)</f>
        <v>150000</v>
      </c>
      <c r="G26" s="106"/>
      <c r="H26" s="107">
        <f t="shared" si="0"/>
        <v>150000</v>
      </c>
    </row>
    <row r="27" spans="1:8" s="87" customFormat="1" ht="19.5" customHeight="1" x14ac:dyDescent="0.25">
      <c r="A27" s="98">
        <v>3</v>
      </c>
      <c r="B27" s="99" t="s">
        <v>94</v>
      </c>
      <c r="C27" s="101"/>
      <c r="D27" s="101"/>
      <c r="E27" s="112"/>
      <c r="F27" s="102">
        <f>F28+F34+F38+F48</f>
        <v>27602480</v>
      </c>
      <c r="G27" s="102">
        <f>G28+G34+G38+G48</f>
        <v>0</v>
      </c>
      <c r="H27" s="102">
        <f>H28+H34+H38+H48</f>
        <v>27602480</v>
      </c>
    </row>
    <row r="28" spans="1:8" s="87" customFormat="1" ht="33" customHeight="1" x14ac:dyDescent="0.25">
      <c r="A28" s="92"/>
      <c r="B28" s="93" t="s">
        <v>26</v>
      </c>
      <c r="C28" s="92"/>
      <c r="D28" s="92"/>
      <c r="E28" s="113"/>
      <c r="F28" s="96">
        <f>F29</f>
        <v>1340000</v>
      </c>
      <c r="G28" s="96">
        <f>G29</f>
        <v>0</v>
      </c>
      <c r="H28" s="97">
        <f t="shared" si="0"/>
        <v>1340000</v>
      </c>
    </row>
    <row r="29" spans="1:8" s="87" customFormat="1" ht="31.5" x14ac:dyDescent="0.25">
      <c r="A29" s="98"/>
      <c r="B29" s="99" t="s">
        <v>27</v>
      </c>
      <c r="C29" s="98"/>
      <c r="D29" s="98"/>
      <c r="E29" s="111"/>
      <c r="F29" s="102">
        <f>F30+F31+F32+F33</f>
        <v>1340000</v>
      </c>
      <c r="G29" s="102">
        <f>G30+G31+G32+G33</f>
        <v>0</v>
      </c>
      <c r="H29" s="97">
        <f t="shared" si="0"/>
        <v>1340000</v>
      </c>
    </row>
    <row r="30" spans="1:8" s="87" customFormat="1" x14ac:dyDescent="0.25">
      <c r="A30" s="101"/>
      <c r="B30" s="103" t="s">
        <v>28</v>
      </c>
      <c r="C30" s="101" t="s">
        <v>20</v>
      </c>
      <c r="D30" s="101">
        <v>1</v>
      </c>
      <c r="E30" s="112">
        <v>370000</v>
      </c>
      <c r="F30" s="105">
        <f t="shared" ref="F30:F32" si="2">SUM(D30*E30)</f>
        <v>370000</v>
      </c>
      <c r="G30" s="114"/>
      <c r="H30" s="107">
        <f t="shared" si="0"/>
        <v>370000</v>
      </c>
    </row>
    <row r="31" spans="1:8" s="87" customFormat="1" x14ac:dyDescent="0.25">
      <c r="A31" s="101"/>
      <c r="B31" s="103" t="s">
        <v>29</v>
      </c>
      <c r="C31" s="101" t="s">
        <v>20</v>
      </c>
      <c r="D31" s="101">
        <v>1</v>
      </c>
      <c r="E31" s="112">
        <v>370000</v>
      </c>
      <c r="F31" s="105">
        <f t="shared" si="2"/>
        <v>370000</v>
      </c>
      <c r="G31" s="114"/>
      <c r="H31" s="107">
        <f t="shared" si="0"/>
        <v>370000</v>
      </c>
    </row>
    <row r="32" spans="1:8" s="87" customFormat="1" x14ac:dyDescent="0.25">
      <c r="A32" s="101"/>
      <c r="B32" s="103" t="s">
        <v>30</v>
      </c>
      <c r="C32" s="101" t="s">
        <v>20</v>
      </c>
      <c r="D32" s="101">
        <v>1</v>
      </c>
      <c r="E32" s="112">
        <v>300000</v>
      </c>
      <c r="F32" s="105">
        <f t="shared" si="2"/>
        <v>300000</v>
      </c>
      <c r="G32" s="114"/>
      <c r="H32" s="107">
        <f t="shared" si="0"/>
        <v>300000</v>
      </c>
    </row>
    <row r="33" spans="1:8" s="87" customFormat="1" x14ac:dyDescent="0.25">
      <c r="A33" s="101"/>
      <c r="B33" s="103" t="s">
        <v>31</v>
      </c>
      <c r="C33" s="101" t="s">
        <v>20</v>
      </c>
      <c r="D33" s="101">
        <v>1</v>
      </c>
      <c r="E33" s="112">
        <v>300000</v>
      </c>
      <c r="F33" s="105">
        <f>SUM(D33*E33)</f>
        <v>300000</v>
      </c>
      <c r="G33" s="106"/>
      <c r="H33" s="107">
        <f t="shared" si="0"/>
        <v>300000</v>
      </c>
    </row>
    <row r="34" spans="1:8" s="87" customFormat="1" ht="50.25" customHeight="1" x14ac:dyDescent="0.25">
      <c r="A34" s="115"/>
      <c r="B34" s="116" t="s">
        <v>32</v>
      </c>
      <c r="C34" s="115"/>
      <c r="D34" s="115"/>
      <c r="E34" s="117"/>
      <c r="F34" s="118">
        <f>F35</f>
        <v>2110000</v>
      </c>
      <c r="G34" s="118">
        <f>G35</f>
        <v>0</v>
      </c>
      <c r="H34" s="97">
        <f t="shared" si="0"/>
        <v>2110000</v>
      </c>
    </row>
    <row r="35" spans="1:8" s="87" customFormat="1" ht="31.5" x14ac:dyDescent="0.25">
      <c r="A35" s="98"/>
      <c r="B35" s="99" t="s">
        <v>27</v>
      </c>
      <c r="C35" s="98"/>
      <c r="D35" s="98"/>
      <c r="E35" s="111"/>
      <c r="F35" s="102">
        <f>F36+F37</f>
        <v>2110000</v>
      </c>
      <c r="G35" s="102">
        <f>G36+G50+G37</f>
        <v>0</v>
      </c>
      <c r="H35" s="97">
        <f t="shared" si="0"/>
        <v>2110000</v>
      </c>
    </row>
    <row r="36" spans="1:8" s="87" customFormat="1" x14ac:dyDescent="0.25">
      <c r="A36" s="101"/>
      <c r="B36" s="103" t="s">
        <v>52</v>
      </c>
      <c r="C36" s="101" t="s">
        <v>20</v>
      </c>
      <c r="D36" s="101">
        <v>8</v>
      </c>
      <c r="E36" s="112">
        <v>170000</v>
      </c>
      <c r="F36" s="105">
        <f>E36*D36</f>
        <v>1360000</v>
      </c>
      <c r="G36" s="106"/>
      <c r="H36" s="107">
        <f>F36-G36</f>
        <v>1360000</v>
      </c>
    </row>
    <row r="37" spans="1:8" s="87" customFormat="1" x14ac:dyDescent="0.25">
      <c r="A37" s="101"/>
      <c r="B37" s="103" t="s">
        <v>33</v>
      </c>
      <c r="C37" s="101" t="s">
        <v>20</v>
      </c>
      <c r="D37" s="101">
        <v>2</v>
      </c>
      <c r="E37" s="112">
        <v>375000</v>
      </c>
      <c r="F37" s="105">
        <f>E37*D37</f>
        <v>750000</v>
      </c>
      <c r="G37" s="106"/>
      <c r="H37" s="107">
        <f t="shared" si="0"/>
        <v>750000</v>
      </c>
    </row>
    <row r="38" spans="1:8" s="87" customFormat="1" ht="31.5" x14ac:dyDescent="0.25">
      <c r="A38" s="119"/>
      <c r="B38" s="116" t="s">
        <v>34</v>
      </c>
      <c r="C38" s="115"/>
      <c r="D38" s="115"/>
      <c r="E38" s="117"/>
      <c r="F38" s="118">
        <f>F39+F44</f>
        <v>21982912</v>
      </c>
      <c r="G38" s="118">
        <f>G39+G44</f>
        <v>0</v>
      </c>
      <c r="H38" s="97">
        <f t="shared" si="0"/>
        <v>21982912</v>
      </c>
    </row>
    <row r="39" spans="1:8" s="121" customFormat="1" ht="31.5" x14ac:dyDescent="0.25">
      <c r="A39" s="120"/>
      <c r="B39" s="99" t="s">
        <v>27</v>
      </c>
      <c r="C39" s="98"/>
      <c r="D39" s="98"/>
      <c r="E39" s="111"/>
      <c r="F39" s="102">
        <f>F40+F41+F43+F42</f>
        <v>21750000</v>
      </c>
      <c r="G39" s="102">
        <f>G40+G41+G43+G42</f>
        <v>0</v>
      </c>
      <c r="H39" s="97">
        <f t="shared" si="0"/>
        <v>21750000</v>
      </c>
    </row>
    <row r="40" spans="1:8" s="87" customFormat="1" x14ac:dyDescent="0.25">
      <c r="A40" s="122"/>
      <c r="B40" s="103" t="s">
        <v>35</v>
      </c>
      <c r="C40" s="101" t="s">
        <v>79</v>
      </c>
      <c r="D40" s="101">
        <v>20</v>
      </c>
      <c r="E40" s="112">
        <v>1000000</v>
      </c>
      <c r="F40" s="105">
        <f>E40*D40</f>
        <v>20000000</v>
      </c>
      <c r="G40" s="106"/>
      <c r="H40" s="107">
        <f t="shared" si="0"/>
        <v>20000000</v>
      </c>
    </row>
    <row r="41" spans="1:8" s="87" customFormat="1" x14ac:dyDescent="0.25">
      <c r="A41" s="122"/>
      <c r="B41" s="103" t="s">
        <v>36</v>
      </c>
      <c r="C41" s="101" t="s">
        <v>20</v>
      </c>
      <c r="D41" s="101">
        <v>1</v>
      </c>
      <c r="E41" s="112">
        <v>400000</v>
      </c>
      <c r="F41" s="105">
        <f t="shared" ref="F41:F43" si="3">E41*D41</f>
        <v>400000</v>
      </c>
      <c r="G41" s="106"/>
      <c r="H41" s="107">
        <f t="shared" si="0"/>
        <v>400000</v>
      </c>
    </row>
    <row r="42" spans="1:8" s="87" customFormat="1" x14ac:dyDescent="0.25">
      <c r="A42" s="122"/>
      <c r="B42" s="103" t="s">
        <v>53</v>
      </c>
      <c r="C42" s="101" t="s">
        <v>20</v>
      </c>
      <c r="D42" s="101">
        <v>3</v>
      </c>
      <c r="E42" s="112">
        <v>100000</v>
      </c>
      <c r="F42" s="105">
        <f t="shared" si="3"/>
        <v>300000</v>
      </c>
      <c r="G42" s="106"/>
      <c r="H42" s="107">
        <f t="shared" si="0"/>
        <v>300000</v>
      </c>
    </row>
    <row r="43" spans="1:8" s="87" customFormat="1" x14ac:dyDescent="0.25">
      <c r="A43" s="122"/>
      <c r="B43" s="103" t="s">
        <v>37</v>
      </c>
      <c r="C43" s="101" t="s">
        <v>20</v>
      </c>
      <c r="D43" s="101">
        <v>2</v>
      </c>
      <c r="E43" s="112">
        <v>525000</v>
      </c>
      <c r="F43" s="105">
        <f t="shared" si="3"/>
        <v>1050000</v>
      </c>
      <c r="G43" s="106"/>
      <c r="H43" s="107">
        <f t="shared" si="0"/>
        <v>1050000</v>
      </c>
    </row>
    <row r="44" spans="1:8" s="121" customFormat="1" ht="31.5" x14ac:dyDescent="0.25">
      <c r="A44" s="98"/>
      <c r="B44" s="99" t="s">
        <v>93</v>
      </c>
      <c r="C44" s="98"/>
      <c r="D44" s="98"/>
      <c r="E44" s="111"/>
      <c r="F44" s="102">
        <f>F45+F46+F47</f>
        <v>232912</v>
      </c>
      <c r="G44" s="102">
        <f>G45+G46+G47</f>
        <v>0</v>
      </c>
      <c r="H44" s="97">
        <f t="shared" si="0"/>
        <v>232912</v>
      </c>
    </row>
    <row r="45" spans="1:8" s="87" customFormat="1" x14ac:dyDescent="0.25">
      <c r="A45" s="101"/>
      <c r="B45" s="123" t="s">
        <v>81</v>
      </c>
      <c r="C45" s="124" t="s">
        <v>38</v>
      </c>
      <c r="D45" s="125">
        <v>6</v>
      </c>
      <c r="E45" s="112">
        <v>7384</v>
      </c>
      <c r="F45" s="105">
        <f>SUM(D45*E45)</f>
        <v>44304</v>
      </c>
      <c r="G45" s="106"/>
      <c r="H45" s="107">
        <f t="shared" si="0"/>
        <v>44304</v>
      </c>
    </row>
    <row r="46" spans="1:8" s="87" customFormat="1" x14ac:dyDescent="0.25">
      <c r="A46" s="101"/>
      <c r="B46" s="126" t="s">
        <v>90</v>
      </c>
      <c r="C46" s="127" t="s">
        <v>39</v>
      </c>
      <c r="D46" s="128">
        <v>4</v>
      </c>
      <c r="E46" s="129">
        <v>25000</v>
      </c>
      <c r="F46" s="105">
        <f>SUM(D46*E46)</f>
        <v>100000</v>
      </c>
      <c r="G46" s="106"/>
      <c r="H46" s="107">
        <f t="shared" si="0"/>
        <v>100000</v>
      </c>
    </row>
    <row r="47" spans="1:8" s="87" customFormat="1" x14ac:dyDescent="0.25">
      <c r="A47" s="101"/>
      <c r="B47" s="123" t="s">
        <v>82</v>
      </c>
      <c r="C47" s="130" t="s">
        <v>40</v>
      </c>
      <c r="D47" s="131">
        <v>4</v>
      </c>
      <c r="E47" s="132">
        <v>22152</v>
      </c>
      <c r="F47" s="105">
        <f>SUM(D47*E47)</f>
        <v>88608</v>
      </c>
      <c r="G47" s="106"/>
      <c r="H47" s="107">
        <f t="shared" si="0"/>
        <v>88608</v>
      </c>
    </row>
    <row r="48" spans="1:8" s="87" customFormat="1" x14ac:dyDescent="0.25">
      <c r="A48" s="92"/>
      <c r="B48" s="93" t="s">
        <v>92</v>
      </c>
      <c r="C48" s="95"/>
      <c r="D48" s="95"/>
      <c r="E48" s="133"/>
      <c r="F48" s="96">
        <f>F49</f>
        <v>2169568</v>
      </c>
      <c r="G48" s="96">
        <f>G49</f>
        <v>0</v>
      </c>
      <c r="H48" s="97">
        <f t="shared" si="0"/>
        <v>2169568</v>
      </c>
    </row>
    <row r="49" spans="1:8" s="87" customFormat="1" ht="31.5" x14ac:dyDescent="0.25">
      <c r="A49" s="98"/>
      <c r="B49" s="99" t="s">
        <v>27</v>
      </c>
      <c r="C49" s="101"/>
      <c r="D49" s="101"/>
      <c r="E49" s="112"/>
      <c r="F49" s="102">
        <f>SUM(F51+F50)</f>
        <v>2169568</v>
      </c>
      <c r="G49" s="102">
        <f>SUM(G51)</f>
        <v>0</v>
      </c>
      <c r="H49" s="97">
        <f t="shared" si="0"/>
        <v>2169568</v>
      </c>
    </row>
    <row r="50" spans="1:8" s="87" customFormat="1" x14ac:dyDescent="0.25">
      <c r="A50" s="98"/>
      <c r="B50" s="103" t="s">
        <v>99</v>
      </c>
      <c r="C50" s="101" t="s">
        <v>20</v>
      </c>
      <c r="D50" s="101">
        <v>2</v>
      </c>
      <c r="E50" s="112">
        <v>100000</v>
      </c>
      <c r="F50" s="105">
        <f>E50*D50</f>
        <v>200000</v>
      </c>
      <c r="G50" s="106"/>
      <c r="H50" s="107">
        <f>F50-G50</f>
        <v>200000</v>
      </c>
    </row>
    <row r="51" spans="1:8" s="87" customFormat="1" x14ac:dyDescent="0.25">
      <c r="A51" s="101"/>
      <c r="B51" s="103" t="s">
        <v>42</v>
      </c>
      <c r="C51" s="101" t="s">
        <v>20</v>
      </c>
      <c r="D51" s="101">
        <v>8</v>
      </c>
      <c r="E51" s="112">
        <v>246196</v>
      </c>
      <c r="F51" s="105">
        <f>SUM(D51*E51)</f>
        <v>1969568</v>
      </c>
      <c r="G51" s="106"/>
      <c r="H51" s="107">
        <f t="shared" si="0"/>
        <v>1969568</v>
      </c>
    </row>
    <row r="52" spans="1:8" s="87" customFormat="1" x14ac:dyDescent="0.25">
      <c r="A52" s="134"/>
      <c r="B52" s="135" t="s">
        <v>6</v>
      </c>
      <c r="C52" s="136"/>
      <c r="D52" s="137"/>
      <c r="E52" s="136"/>
      <c r="F52" s="138">
        <f>F13+F27+F25</f>
        <v>39405000</v>
      </c>
      <c r="G52" s="138">
        <f>G13+G27+G25</f>
        <v>8000000</v>
      </c>
      <c r="H52" s="138">
        <f>H13+H27+H25</f>
        <v>31405000</v>
      </c>
    </row>
    <row r="53" spans="1:8" x14ac:dyDescent="0.25">
      <c r="A53" s="50" t="s">
        <v>43</v>
      </c>
      <c r="B53" s="50"/>
      <c r="C53" s="50"/>
      <c r="D53" s="50"/>
      <c r="E53" s="50"/>
      <c r="F53" s="50"/>
      <c r="G53" s="50"/>
      <c r="H53" s="73"/>
    </row>
    <row r="54" spans="1:8" x14ac:dyDescent="0.25">
      <c r="A54" s="50"/>
      <c r="B54" s="74"/>
      <c r="C54" s="74"/>
      <c r="D54" s="74"/>
      <c r="E54" s="74"/>
      <c r="F54" s="74"/>
      <c r="G54" s="74"/>
      <c r="H54" s="75"/>
    </row>
    <row r="55" spans="1:8" x14ac:dyDescent="0.25">
      <c r="A55" s="50" t="s">
        <v>14</v>
      </c>
      <c r="B55" s="50"/>
      <c r="C55" s="50"/>
      <c r="D55" s="50"/>
      <c r="E55" s="50"/>
      <c r="F55" s="50"/>
      <c r="G55" s="50"/>
      <c r="H55" s="73"/>
    </row>
    <row r="56" spans="1:8" x14ac:dyDescent="0.25">
      <c r="A56" s="50"/>
      <c r="B56" s="50"/>
      <c r="C56" s="50"/>
      <c r="D56" s="50"/>
      <c r="E56" s="50"/>
      <c r="F56" s="50"/>
      <c r="G56" s="50"/>
      <c r="H56" s="50"/>
    </row>
    <row r="57" spans="1:8" x14ac:dyDescent="0.25">
      <c r="A57" s="50" t="s">
        <v>50</v>
      </c>
      <c r="B57" s="50"/>
      <c r="C57" s="50"/>
      <c r="D57" s="50"/>
      <c r="E57" s="50"/>
      <c r="F57" s="50"/>
      <c r="G57" s="50"/>
      <c r="H57" s="73"/>
    </row>
    <row r="58" spans="1:8" x14ac:dyDescent="0.25">
      <c r="A58" s="50"/>
      <c r="B58" s="50" t="s">
        <v>44</v>
      </c>
      <c r="C58" s="50"/>
      <c r="D58" s="50"/>
      <c r="E58" s="50"/>
      <c r="F58" s="50"/>
      <c r="G58" s="50"/>
      <c r="H58" s="50"/>
    </row>
    <row r="59" spans="1:8" ht="6" customHeight="1" x14ac:dyDescent="0.25">
      <c r="A59" s="50"/>
      <c r="B59" s="74"/>
      <c r="C59" s="74"/>
      <c r="D59" s="74"/>
      <c r="E59" s="74"/>
      <c r="F59" s="74"/>
      <c r="G59" s="74"/>
      <c r="H59" s="74"/>
    </row>
    <row r="60" spans="1:8" x14ac:dyDescent="0.25">
      <c r="A60" s="50" t="s">
        <v>45</v>
      </c>
      <c r="B60" s="50"/>
      <c r="C60" s="50"/>
      <c r="D60" s="50"/>
      <c r="E60" s="50"/>
      <c r="F60" s="50"/>
      <c r="G60" s="50"/>
      <c r="H60" s="73"/>
    </row>
    <row r="61" spans="1:8" x14ac:dyDescent="0.25">
      <c r="A61" s="50"/>
      <c r="B61" s="74"/>
      <c r="C61" s="74"/>
      <c r="D61" s="74"/>
      <c r="E61" s="74"/>
      <c r="F61" s="74"/>
      <c r="G61" s="74"/>
      <c r="H61" s="74"/>
    </row>
    <row r="62" spans="1:8" x14ac:dyDescent="0.25">
      <c r="A62" s="50" t="s">
        <v>46</v>
      </c>
      <c r="B62" s="50"/>
      <c r="C62" s="50"/>
      <c r="D62" s="50"/>
      <c r="E62" s="50"/>
      <c r="F62" s="50"/>
      <c r="G62" s="50"/>
      <c r="H62" s="73"/>
    </row>
    <row r="63" spans="1:8" x14ac:dyDescent="0.25">
      <c r="A63" s="50"/>
      <c r="B63" s="50"/>
      <c r="C63" s="50"/>
      <c r="D63" s="50"/>
      <c r="E63" s="50"/>
      <c r="F63" s="50"/>
      <c r="G63" s="50"/>
      <c r="H63" s="50"/>
    </row>
    <row r="64" spans="1:8" x14ac:dyDescent="0.25">
      <c r="A64" s="50" t="s">
        <v>47</v>
      </c>
      <c r="B64" s="50"/>
      <c r="C64" s="50"/>
      <c r="D64" s="50"/>
      <c r="E64" s="50"/>
      <c r="F64" s="50"/>
      <c r="G64" s="50"/>
      <c r="H64" s="73"/>
    </row>
    <row r="65" spans="1:8" ht="12.75" customHeight="1" x14ac:dyDescent="0.25">
      <c r="A65" s="50"/>
      <c r="B65" s="50"/>
      <c r="C65" s="50"/>
      <c r="D65" s="50"/>
      <c r="E65" s="50"/>
      <c r="F65" s="50"/>
      <c r="G65" s="50"/>
      <c r="H65" s="50"/>
    </row>
    <row r="66" spans="1:8" x14ac:dyDescent="0.25">
      <c r="A66" s="50" t="s">
        <v>71</v>
      </c>
      <c r="B66" s="50"/>
      <c r="C66" s="50"/>
      <c r="D66" s="50"/>
      <c r="E66" s="50"/>
      <c r="F66" s="50"/>
      <c r="G66" s="50"/>
      <c r="H66" s="73"/>
    </row>
    <row r="67" spans="1:8" x14ac:dyDescent="0.25">
      <c r="A67" s="50"/>
      <c r="B67" s="50" t="s">
        <v>44</v>
      </c>
      <c r="C67" s="50"/>
      <c r="D67" s="50"/>
      <c r="E67" s="50"/>
      <c r="F67" s="50"/>
      <c r="G67" s="50"/>
      <c r="H67" s="50"/>
    </row>
    <row r="68" spans="1:8" x14ac:dyDescent="0.25">
      <c r="A68" s="50"/>
      <c r="B68" s="50"/>
      <c r="C68" s="50"/>
      <c r="D68" s="50"/>
      <c r="E68" s="50"/>
      <c r="F68" s="50"/>
      <c r="G68" s="50"/>
      <c r="H68" s="50"/>
    </row>
    <row r="69" spans="1:8" x14ac:dyDescent="0.25">
      <c r="A69" s="50" t="s">
        <v>48</v>
      </c>
      <c r="B69" s="50"/>
      <c r="C69" s="50"/>
      <c r="D69" s="50"/>
      <c r="E69" s="50"/>
      <c r="F69" s="50"/>
      <c r="G69" s="50"/>
      <c r="H69" s="73"/>
    </row>
    <row r="70" spans="1:8" ht="13.5" customHeight="1" x14ac:dyDescent="0.25">
      <c r="A70" s="50"/>
      <c r="B70" s="50"/>
      <c r="C70" s="50"/>
      <c r="D70" s="50"/>
      <c r="E70" s="50"/>
      <c r="F70" s="50"/>
      <c r="G70" s="50"/>
      <c r="H70" s="50"/>
    </row>
    <row r="71" spans="1:8" x14ac:dyDescent="0.25">
      <c r="A71" s="50" t="s">
        <v>70</v>
      </c>
      <c r="B71" s="50"/>
      <c r="C71" s="50"/>
      <c r="D71" s="50"/>
      <c r="E71" s="50"/>
      <c r="F71" s="50"/>
      <c r="G71" s="50"/>
      <c r="H71" s="73"/>
    </row>
    <row r="72" spans="1:8" x14ac:dyDescent="0.25">
      <c r="A72" s="50"/>
      <c r="B72" s="74"/>
      <c r="C72" s="74"/>
      <c r="D72" s="74"/>
      <c r="E72" s="74"/>
      <c r="F72" s="74"/>
      <c r="G72" s="74"/>
      <c r="H72" s="74"/>
    </row>
    <row r="73" spans="1:8" x14ac:dyDescent="0.25">
      <c r="A73" s="50" t="s">
        <v>97</v>
      </c>
      <c r="B73" s="74"/>
      <c r="C73" s="74"/>
      <c r="D73" s="74"/>
      <c r="E73" s="74"/>
      <c r="F73" s="74"/>
      <c r="G73" s="74"/>
      <c r="H73" s="73"/>
    </row>
    <row r="74" spans="1:8" ht="12.75" customHeight="1" x14ac:dyDescent="0.25">
      <c r="A74" s="50"/>
      <c r="B74" s="74"/>
      <c r="C74" s="74"/>
      <c r="D74" s="74"/>
      <c r="E74" s="74"/>
      <c r="F74" s="74"/>
      <c r="G74" s="74"/>
      <c r="H74" s="74"/>
    </row>
    <row r="75" spans="1:8" x14ac:dyDescent="0.25">
      <c r="A75" s="50" t="s">
        <v>69</v>
      </c>
      <c r="B75" s="74"/>
      <c r="C75" s="74"/>
      <c r="D75" s="74"/>
      <c r="E75" s="74"/>
      <c r="F75" s="74"/>
      <c r="G75" s="74"/>
      <c r="H75" s="73"/>
    </row>
    <row r="76" spans="1:8" x14ac:dyDescent="0.25">
      <c r="A76" s="50"/>
      <c r="B76" s="74"/>
      <c r="C76" s="74"/>
      <c r="D76" s="74"/>
      <c r="E76" s="74"/>
      <c r="F76" s="74"/>
      <c r="G76" s="74"/>
      <c r="H76" s="74"/>
    </row>
    <row r="77" spans="1:8" x14ac:dyDescent="0.25">
      <c r="A77" s="50" t="s">
        <v>98</v>
      </c>
      <c r="B77" s="74"/>
      <c r="C77" s="74"/>
      <c r="D77" s="74"/>
      <c r="E77" s="74"/>
      <c r="F77" s="74"/>
      <c r="G77" s="73"/>
      <c r="H77" s="73"/>
    </row>
    <row r="78" spans="1:8" ht="9" customHeight="1" x14ac:dyDescent="0.25">
      <c r="A78" s="50"/>
      <c r="B78" s="74"/>
      <c r="C78" s="74"/>
      <c r="D78" s="74"/>
      <c r="E78" s="74"/>
      <c r="F78" s="74"/>
      <c r="G78" s="74"/>
      <c r="H78" s="74"/>
    </row>
    <row r="79" spans="1:8" x14ac:dyDescent="0.25">
      <c r="A79" s="50" t="s">
        <v>67</v>
      </c>
      <c r="B79" s="74"/>
      <c r="C79" s="74"/>
      <c r="D79" s="74"/>
      <c r="E79" s="74"/>
      <c r="F79" s="74"/>
      <c r="G79" s="74"/>
      <c r="H79" s="73"/>
    </row>
  </sheetData>
  <mergeCells count="14">
    <mergeCell ref="A9:H9"/>
    <mergeCell ref="A10:A11"/>
    <mergeCell ref="B10:B11"/>
    <mergeCell ref="C10:C11"/>
    <mergeCell ref="D10:D11"/>
    <mergeCell ref="E10:E11"/>
    <mergeCell ref="F10:F11"/>
    <mergeCell ref="G10:H10"/>
    <mergeCell ref="A8:H8"/>
    <mergeCell ref="A1:H1"/>
    <mergeCell ref="A2:H2"/>
    <mergeCell ref="A3:H3"/>
    <mergeCell ref="A5:H5"/>
    <mergeCell ref="A7:H7"/>
  </mergeCells>
  <pageMargins left="0.7" right="0.7" top="0.75" bottom="0.75" header="0.3" footer="0.3"/>
  <pageSetup paperSize="9" scale="47" orientation="portrait" r:id="rId1"/>
  <rowBreaks count="1" manualBreakCount="1">
    <brk id="8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view="pageBreakPreview" zoomScale="90" zoomScaleNormal="80" zoomScaleSheetLayoutView="90" workbookViewId="0">
      <selection activeCell="B35" sqref="B35"/>
    </sheetView>
  </sheetViews>
  <sheetFormatPr defaultColWidth="9.140625" defaultRowHeight="16.5" customHeight="1" x14ac:dyDescent="0.25"/>
  <cols>
    <col min="1" max="1" width="4.42578125" style="66" customWidth="1"/>
    <col min="2" max="2" width="59.140625" style="68" customWidth="1"/>
    <col min="3" max="3" width="15.85546875" style="66" customWidth="1"/>
    <col min="4" max="4" width="13.85546875" style="66" customWidth="1"/>
    <col min="5" max="5" width="14.42578125" style="66" customWidth="1"/>
    <col min="6" max="6" width="13.28515625" style="66" customWidth="1"/>
    <col min="7" max="7" width="17.28515625" style="66" customWidth="1"/>
    <col min="8" max="8" width="14.28515625" style="66" customWidth="1"/>
    <col min="9" max="9" width="8.5703125" style="66" customWidth="1"/>
    <col min="10" max="16384" width="9.140625" style="66"/>
  </cols>
  <sheetData>
    <row r="1" spans="1:8" ht="16.5" customHeight="1" x14ac:dyDescent="0.25">
      <c r="A1" s="141" t="s">
        <v>8</v>
      </c>
      <c r="B1" s="141"/>
      <c r="C1" s="141"/>
      <c r="D1" s="141"/>
      <c r="E1" s="141"/>
      <c r="F1" s="141"/>
      <c r="G1" s="141"/>
      <c r="H1" s="141"/>
    </row>
    <row r="2" spans="1:8" ht="16.5" customHeight="1" x14ac:dyDescent="0.25">
      <c r="A2" s="141" t="s">
        <v>9</v>
      </c>
      <c r="B2" s="141"/>
      <c r="C2" s="141"/>
      <c r="D2" s="141"/>
      <c r="E2" s="141"/>
      <c r="F2" s="141"/>
      <c r="G2" s="141"/>
      <c r="H2" s="141"/>
    </row>
    <row r="3" spans="1:8" ht="16.5" customHeight="1" x14ac:dyDescent="0.25">
      <c r="A3" s="141" t="s">
        <v>54</v>
      </c>
      <c r="B3" s="141"/>
      <c r="C3" s="141"/>
      <c r="D3" s="141"/>
      <c r="E3" s="141"/>
      <c r="F3" s="141"/>
      <c r="G3" s="141"/>
      <c r="H3" s="141"/>
    </row>
    <row r="4" spans="1:8" ht="16.5" customHeight="1" x14ac:dyDescent="0.25">
      <c r="A4" s="67"/>
    </row>
    <row r="5" spans="1:8" ht="16.5" customHeight="1" x14ac:dyDescent="0.25">
      <c r="A5" s="142" t="s">
        <v>86</v>
      </c>
      <c r="B5" s="142"/>
      <c r="C5" s="142"/>
      <c r="D5" s="142"/>
      <c r="E5" s="142"/>
      <c r="F5" s="142"/>
      <c r="G5" s="142"/>
      <c r="H5" s="142"/>
    </row>
    <row r="6" spans="1:8" ht="16.5" customHeight="1" x14ac:dyDescent="0.25">
      <c r="A6" s="69"/>
      <c r="B6" s="70"/>
      <c r="C6" s="71"/>
      <c r="D6" s="71"/>
      <c r="E6" s="71"/>
      <c r="F6" s="71"/>
      <c r="G6" s="71"/>
    </row>
    <row r="7" spans="1:8" ht="16.5" customHeight="1" x14ac:dyDescent="0.25">
      <c r="A7" s="152" t="s">
        <v>72</v>
      </c>
      <c r="B7" s="152"/>
      <c r="C7" s="152"/>
      <c r="D7" s="152"/>
      <c r="E7" s="152"/>
      <c r="F7" s="152"/>
      <c r="G7" s="152"/>
      <c r="H7" s="152"/>
    </row>
    <row r="8" spans="1:8" ht="16.5" customHeight="1" x14ac:dyDescent="0.25">
      <c r="A8" s="152" t="s">
        <v>73</v>
      </c>
      <c r="B8" s="152"/>
      <c r="C8" s="152"/>
      <c r="D8" s="152"/>
      <c r="E8" s="152"/>
      <c r="F8" s="152"/>
      <c r="G8" s="152"/>
      <c r="H8" s="152"/>
    </row>
    <row r="9" spans="1:8" ht="16.5" customHeight="1" x14ac:dyDescent="0.25">
      <c r="A9" s="152" t="s">
        <v>74</v>
      </c>
      <c r="B9" s="152"/>
      <c r="C9" s="152"/>
      <c r="D9" s="152"/>
      <c r="E9" s="152"/>
      <c r="F9" s="152"/>
      <c r="G9" s="152"/>
      <c r="H9" s="152"/>
    </row>
    <row r="10" spans="1:8" ht="16.5" customHeight="1" x14ac:dyDescent="0.25">
      <c r="A10" s="72"/>
      <c r="B10" s="72"/>
      <c r="C10" s="72"/>
      <c r="D10" s="72"/>
      <c r="E10" s="72"/>
      <c r="F10" s="72"/>
      <c r="G10" s="72"/>
      <c r="H10" s="72"/>
    </row>
    <row r="11" spans="1:8" s="76" customFormat="1" ht="24" customHeight="1" x14ac:dyDescent="0.25">
      <c r="A11" s="143" t="s">
        <v>0</v>
      </c>
      <c r="B11" s="143" t="s">
        <v>1</v>
      </c>
      <c r="C11" s="143" t="s">
        <v>2</v>
      </c>
      <c r="D11" s="143" t="s">
        <v>3</v>
      </c>
      <c r="E11" s="143" t="s">
        <v>10</v>
      </c>
      <c r="F11" s="148" t="s">
        <v>4</v>
      </c>
      <c r="G11" s="154" t="s">
        <v>5</v>
      </c>
      <c r="H11" s="155"/>
    </row>
    <row r="12" spans="1:8" s="76" customFormat="1" ht="50.25" customHeight="1" x14ac:dyDescent="0.25">
      <c r="A12" s="146"/>
      <c r="B12" s="156"/>
      <c r="C12" s="146"/>
      <c r="D12" s="146"/>
      <c r="E12" s="146"/>
      <c r="F12" s="153"/>
      <c r="G12" s="14" t="s">
        <v>7</v>
      </c>
      <c r="H12" s="14" t="s">
        <v>11</v>
      </c>
    </row>
    <row r="13" spans="1:8" ht="16.5" customHeight="1" x14ac:dyDescent="0.25">
      <c r="A13" s="15">
        <v>1</v>
      </c>
      <c r="B13" s="16">
        <v>2</v>
      </c>
      <c r="C13" s="15">
        <v>3</v>
      </c>
      <c r="D13" s="15">
        <v>4</v>
      </c>
      <c r="E13" s="17">
        <v>5</v>
      </c>
      <c r="F13" s="18">
        <v>6</v>
      </c>
      <c r="G13" s="14">
        <v>7</v>
      </c>
      <c r="H13" s="14">
        <v>8</v>
      </c>
    </row>
    <row r="14" spans="1:8" ht="16.5" customHeight="1" x14ac:dyDescent="0.25">
      <c r="A14" s="37">
        <v>1</v>
      </c>
      <c r="B14" s="38" t="s">
        <v>12</v>
      </c>
      <c r="C14" s="39"/>
      <c r="D14" s="40"/>
      <c r="E14" s="78"/>
      <c r="F14" s="41">
        <f>SUM(F15+F22+F23+F24)</f>
        <v>7255960</v>
      </c>
      <c r="G14" s="41">
        <f t="shared" ref="G14:H14" si="0">SUM(G15+G22+G23+G24)</f>
        <v>3150000</v>
      </c>
      <c r="H14" s="41">
        <f t="shared" si="0"/>
        <v>4105960</v>
      </c>
    </row>
    <row r="15" spans="1:8" ht="16.5" customHeight="1" x14ac:dyDescent="0.25">
      <c r="A15" s="19"/>
      <c r="B15" s="20" t="s">
        <v>13</v>
      </c>
      <c r="C15" s="21"/>
      <c r="D15" s="2"/>
      <c r="E15" s="79"/>
      <c r="F15" s="22">
        <f>SUM(F16:F21)</f>
        <v>4035960</v>
      </c>
      <c r="G15" s="22"/>
      <c r="H15" s="22">
        <f t="shared" ref="H15" si="1">SUM(H16:H21)</f>
        <v>4035960</v>
      </c>
    </row>
    <row r="16" spans="1:8" ht="16.5" customHeight="1" x14ac:dyDescent="0.25">
      <c r="A16" s="2"/>
      <c r="B16" s="1" t="s">
        <v>16</v>
      </c>
      <c r="C16" s="2" t="s">
        <v>15</v>
      </c>
      <c r="D16" s="2">
        <v>9</v>
      </c>
      <c r="E16" s="80">
        <v>200000</v>
      </c>
      <c r="F16" s="3">
        <f>SUM(D16*E16)</f>
        <v>1800000</v>
      </c>
      <c r="G16" s="77"/>
      <c r="H16" s="52">
        <f t="shared" ref="H16:H51" si="2">F16-G16</f>
        <v>1800000</v>
      </c>
    </row>
    <row r="17" spans="1:8" ht="16.5" customHeight="1" x14ac:dyDescent="0.25">
      <c r="A17" s="2"/>
      <c r="B17" s="1" t="s">
        <v>17</v>
      </c>
      <c r="C17" s="2" t="s">
        <v>15</v>
      </c>
      <c r="D17" s="2">
        <v>9</v>
      </c>
      <c r="E17" s="80">
        <v>200000</v>
      </c>
      <c r="F17" s="3">
        <f t="shared" ref="F17:F21" si="3">SUM(D17*E17)</f>
        <v>1800000</v>
      </c>
      <c r="G17" s="77"/>
      <c r="H17" s="52">
        <f t="shared" si="2"/>
        <v>1800000</v>
      </c>
    </row>
    <row r="18" spans="1:8" ht="16.5" customHeight="1" x14ac:dyDescent="0.25">
      <c r="A18" s="2"/>
      <c r="B18" s="1" t="s">
        <v>76</v>
      </c>
      <c r="C18" s="2" t="s">
        <v>18</v>
      </c>
      <c r="D18" s="2">
        <v>9</v>
      </c>
      <c r="E18" s="80">
        <f>6300+6300</f>
        <v>12600</v>
      </c>
      <c r="F18" s="3">
        <f t="shared" si="3"/>
        <v>113400</v>
      </c>
      <c r="G18" s="77"/>
      <c r="H18" s="52">
        <f t="shared" si="2"/>
        <v>113400</v>
      </c>
    </row>
    <row r="19" spans="1:8" ht="16.5" customHeight="1" x14ac:dyDescent="0.25">
      <c r="A19" s="2"/>
      <c r="B19" s="1" t="s">
        <v>77</v>
      </c>
      <c r="C19" s="2" t="s">
        <v>18</v>
      </c>
      <c r="D19" s="2">
        <v>9</v>
      </c>
      <c r="E19" s="80">
        <f>10420+10420</f>
        <v>20840</v>
      </c>
      <c r="F19" s="3">
        <f t="shared" si="3"/>
        <v>187560</v>
      </c>
      <c r="G19" s="77"/>
      <c r="H19" s="52">
        <f t="shared" si="2"/>
        <v>187560</v>
      </c>
    </row>
    <row r="20" spans="1:8" ht="16.5" customHeight="1" x14ac:dyDescent="0.25">
      <c r="A20" s="2"/>
      <c r="B20" s="1" t="s">
        <v>85</v>
      </c>
      <c r="C20" s="2" t="s">
        <v>18</v>
      </c>
      <c r="D20" s="2">
        <v>9</v>
      </c>
      <c r="E20" s="80">
        <f>3000</f>
        <v>3000</v>
      </c>
      <c r="F20" s="3">
        <f t="shared" si="3"/>
        <v>27000</v>
      </c>
      <c r="G20" s="77"/>
      <c r="H20" s="52">
        <f t="shared" si="2"/>
        <v>27000</v>
      </c>
    </row>
    <row r="21" spans="1:8" ht="16.5" customHeight="1" x14ac:dyDescent="0.25">
      <c r="A21" s="2"/>
      <c r="B21" s="1" t="s">
        <v>78</v>
      </c>
      <c r="C21" s="2" t="s">
        <v>18</v>
      </c>
      <c r="D21" s="2">
        <v>9</v>
      </c>
      <c r="E21" s="80">
        <f>12000</f>
        <v>12000</v>
      </c>
      <c r="F21" s="3">
        <f t="shared" si="3"/>
        <v>108000</v>
      </c>
      <c r="G21" s="77"/>
      <c r="H21" s="52">
        <f t="shared" si="2"/>
        <v>108000</v>
      </c>
    </row>
    <row r="22" spans="1:8" ht="16.5" customHeight="1" x14ac:dyDescent="0.25">
      <c r="A22" s="19"/>
      <c r="B22" s="20" t="s">
        <v>83</v>
      </c>
      <c r="C22" s="19" t="s">
        <v>18</v>
      </c>
      <c r="D22" s="2">
        <v>9</v>
      </c>
      <c r="E22" s="81">
        <v>5000</v>
      </c>
      <c r="F22" s="22">
        <f>D22*E22</f>
        <v>45000</v>
      </c>
      <c r="G22" s="24"/>
      <c r="H22" s="23">
        <f t="shared" si="2"/>
        <v>45000</v>
      </c>
    </row>
    <row r="23" spans="1:8" ht="16.5" customHeight="1" x14ac:dyDescent="0.25">
      <c r="A23" s="19"/>
      <c r="B23" s="20" t="s">
        <v>84</v>
      </c>
      <c r="C23" s="19" t="s">
        <v>18</v>
      </c>
      <c r="D23" s="2">
        <v>9</v>
      </c>
      <c r="E23" s="81">
        <v>350000</v>
      </c>
      <c r="F23" s="22">
        <f>SUM(D23*E23)</f>
        <v>3150000</v>
      </c>
      <c r="G23" s="24">
        <f>F23</f>
        <v>3150000</v>
      </c>
      <c r="H23" s="23">
        <f t="shared" si="2"/>
        <v>0</v>
      </c>
    </row>
    <row r="24" spans="1:8" ht="16.5" customHeight="1" x14ac:dyDescent="0.25">
      <c r="A24" s="19"/>
      <c r="B24" s="20" t="s">
        <v>19</v>
      </c>
      <c r="C24" s="19"/>
      <c r="D24" s="19"/>
      <c r="E24" s="82"/>
      <c r="F24" s="22">
        <f>SUM(F25:F25)</f>
        <v>25000</v>
      </c>
      <c r="G24" s="22">
        <f>SUM(G25:G25)</f>
        <v>0</v>
      </c>
      <c r="H24" s="23">
        <f t="shared" si="2"/>
        <v>25000</v>
      </c>
    </row>
    <row r="25" spans="1:8" ht="16.5" customHeight="1" x14ac:dyDescent="0.25">
      <c r="A25" s="2"/>
      <c r="B25" s="1" t="s">
        <v>21</v>
      </c>
      <c r="C25" s="2" t="s">
        <v>18</v>
      </c>
      <c r="D25" s="2">
        <v>1</v>
      </c>
      <c r="E25" s="79">
        <v>25000</v>
      </c>
      <c r="F25" s="3">
        <f>D25*E25</f>
        <v>25000</v>
      </c>
      <c r="G25" s="77"/>
      <c r="H25" s="52">
        <f t="shared" si="2"/>
        <v>25000</v>
      </c>
    </row>
    <row r="26" spans="1:8" ht="16.5" customHeight="1" x14ac:dyDescent="0.25">
      <c r="A26" s="37">
        <v>2</v>
      </c>
      <c r="B26" s="38" t="s">
        <v>22</v>
      </c>
      <c r="C26" s="37"/>
      <c r="D26" s="37"/>
      <c r="E26" s="83"/>
      <c r="F26" s="41">
        <f>SUM(F27:F27)</f>
        <v>180863</v>
      </c>
      <c r="G26" s="41">
        <f>SUM(G27:G27)</f>
        <v>0</v>
      </c>
      <c r="H26" s="23">
        <f t="shared" si="2"/>
        <v>180863</v>
      </c>
    </row>
    <row r="27" spans="1:8" ht="16.5" customHeight="1" x14ac:dyDescent="0.25">
      <c r="A27" s="2"/>
      <c r="B27" s="1" t="s">
        <v>23</v>
      </c>
      <c r="C27" s="2" t="s">
        <v>24</v>
      </c>
      <c r="D27" s="2">
        <v>1</v>
      </c>
      <c r="E27" s="79">
        <f>180863</f>
        <v>180863</v>
      </c>
      <c r="F27" s="3">
        <f>SUM(D27*E27)</f>
        <v>180863</v>
      </c>
      <c r="G27" s="77"/>
      <c r="H27" s="52">
        <f t="shared" si="2"/>
        <v>180863</v>
      </c>
    </row>
    <row r="28" spans="1:8" ht="16.5" customHeight="1" x14ac:dyDescent="0.25">
      <c r="A28" s="19">
        <v>3</v>
      </c>
      <c r="B28" s="20" t="s">
        <v>25</v>
      </c>
      <c r="C28" s="2"/>
      <c r="D28" s="2"/>
      <c r="E28" s="79"/>
      <c r="F28" s="22">
        <f>F29+F35+F39+F48</f>
        <v>27118177</v>
      </c>
      <c r="G28" s="22">
        <f>G29+G35+G39+G48</f>
        <v>0</v>
      </c>
      <c r="H28" s="22">
        <f>H29+H35+H39+H48</f>
        <v>27118177</v>
      </c>
    </row>
    <row r="29" spans="1:8" ht="37.5" customHeight="1" x14ac:dyDescent="0.25">
      <c r="A29" s="37"/>
      <c r="B29" s="38" t="s">
        <v>26</v>
      </c>
      <c r="C29" s="37"/>
      <c r="D29" s="37"/>
      <c r="E29" s="83"/>
      <c r="F29" s="41">
        <f>F30</f>
        <v>1105000</v>
      </c>
      <c r="G29" s="41">
        <f>G30</f>
        <v>0</v>
      </c>
      <c r="H29" s="23">
        <f t="shared" si="2"/>
        <v>1105000</v>
      </c>
    </row>
    <row r="30" spans="1:8" ht="31.5" customHeight="1" x14ac:dyDescent="0.25">
      <c r="A30" s="19"/>
      <c r="B30" s="20" t="s">
        <v>27</v>
      </c>
      <c r="C30" s="19"/>
      <c r="D30" s="19"/>
      <c r="E30" s="82"/>
      <c r="F30" s="22">
        <f>F31+F32+F33+F34</f>
        <v>1105000</v>
      </c>
      <c r="G30" s="22">
        <f>G31+G32+G33+G34</f>
        <v>0</v>
      </c>
      <c r="H30" s="23">
        <f t="shared" si="2"/>
        <v>1105000</v>
      </c>
    </row>
    <row r="31" spans="1:8" ht="16.5" customHeight="1" x14ac:dyDescent="0.25">
      <c r="A31" s="2"/>
      <c r="B31" s="1" t="s">
        <v>28</v>
      </c>
      <c r="C31" s="2" t="s">
        <v>20</v>
      </c>
      <c r="D31" s="2">
        <v>1</v>
      </c>
      <c r="E31" s="79">
        <v>327500</v>
      </c>
      <c r="F31" s="3">
        <f t="shared" ref="F31:F33" si="4">SUM(D31*E31)</f>
        <v>327500</v>
      </c>
      <c r="G31" s="53"/>
      <c r="H31" s="52">
        <f t="shared" si="2"/>
        <v>327500</v>
      </c>
    </row>
    <row r="32" spans="1:8" ht="16.5" customHeight="1" x14ac:dyDescent="0.25">
      <c r="A32" s="2"/>
      <c r="B32" s="1" t="s">
        <v>29</v>
      </c>
      <c r="C32" s="2" t="s">
        <v>20</v>
      </c>
      <c r="D32" s="2">
        <v>1</v>
      </c>
      <c r="E32" s="79">
        <v>327500</v>
      </c>
      <c r="F32" s="3">
        <f t="shared" si="4"/>
        <v>327500</v>
      </c>
      <c r="G32" s="53"/>
      <c r="H32" s="52">
        <f t="shared" si="2"/>
        <v>327500</v>
      </c>
    </row>
    <row r="33" spans="1:8" ht="16.5" customHeight="1" x14ac:dyDescent="0.25">
      <c r="A33" s="2"/>
      <c r="B33" s="1" t="s">
        <v>30</v>
      </c>
      <c r="C33" s="2" t="s">
        <v>20</v>
      </c>
      <c r="D33" s="2">
        <v>1</v>
      </c>
      <c r="E33" s="79">
        <v>220000</v>
      </c>
      <c r="F33" s="3">
        <f t="shared" si="4"/>
        <v>220000</v>
      </c>
      <c r="G33" s="53"/>
      <c r="H33" s="52">
        <f t="shared" si="2"/>
        <v>220000</v>
      </c>
    </row>
    <row r="34" spans="1:8" ht="16.5" customHeight="1" x14ac:dyDescent="0.25">
      <c r="A34" s="2"/>
      <c r="B34" s="1" t="s">
        <v>31</v>
      </c>
      <c r="C34" s="2" t="s">
        <v>20</v>
      </c>
      <c r="D34" s="2">
        <v>1</v>
      </c>
      <c r="E34" s="79">
        <v>230000</v>
      </c>
      <c r="F34" s="3">
        <f>SUM(D34*E34)</f>
        <v>230000</v>
      </c>
      <c r="G34" s="77"/>
      <c r="H34" s="52">
        <f>F34-G34</f>
        <v>230000</v>
      </c>
    </row>
    <row r="35" spans="1:8" ht="45.75" customHeight="1" x14ac:dyDescent="0.25">
      <c r="A35" s="42"/>
      <c r="B35" s="27" t="s">
        <v>32</v>
      </c>
      <c r="C35" s="42"/>
      <c r="D35" s="42"/>
      <c r="E35" s="84"/>
      <c r="F35" s="43">
        <f>F36</f>
        <v>2550000</v>
      </c>
      <c r="G35" s="43">
        <f>G36</f>
        <v>0</v>
      </c>
      <c r="H35" s="23">
        <f t="shared" si="2"/>
        <v>2550000</v>
      </c>
    </row>
    <row r="36" spans="1:8" ht="33" customHeight="1" x14ac:dyDescent="0.25">
      <c r="A36" s="19"/>
      <c r="B36" s="20" t="s">
        <v>27</v>
      </c>
      <c r="C36" s="19"/>
      <c r="D36" s="19"/>
      <c r="E36" s="82"/>
      <c r="F36" s="22">
        <f>F37+F38</f>
        <v>2550000</v>
      </c>
      <c r="G36" s="22">
        <f>G37+G38+G50</f>
        <v>0</v>
      </c>
      <c r="H36" s="23">
        <f t="shared" si="2"/>
        <v>2550000</v>
      </c>
    </row>
    <row r="37" spans="1:8" ht="16.5" customHeight="1" x14ac:dyDescent="0.25">
      <c r="A37" s="2"/>
      <c r="B37" s="1" t="s">
        <v>52</v>
      </c>
      <c r="C37" s="2" t="s">
        <v>20</v>
      </c>
      <c r="D37" s="2">
        <v>9</v>
      </c>
      <c r="E37" s="79">
        <v>200000</v>
      </c>
      <c r="F37" s="3">
        <f>E37*D37</f>
        <v>1800000</v>
      </c>
      <c r="G37" s="77"/>
      <c r="H37" s="52">
        <f t="shared" si="2"/>
        <v>1800000</v>
      </c>
    </row>
    <row r="38" spans="1:8" ht="16.5" customHeight="1" x14ac:dyDescent="0.25">
      <c r="A38" s="2"/>
      <c r="B38" s="1" t="s">
        <v>33</v>
      </c>
      <c r="C38" s="2" t="s">
        <v>20</v>
      </c>
      <c r="D38" s="2">
        <v>2</v>
      </c>
      <c r="E38" s="79">
        <v>375000</v>
      </c>
      <c r="F38" s="3">
        <f>E38*D38</f>
        <v>750000</v>
      </c>
      <c r="G38" s="77"/>
      <c r="H38" s="52">
        <f t="shared" si="2"/>
        <v>750000</v>
      </c>
    </row>
    <row r="39" spans="1:8" ht="30.75" customHeight="1" x14ac:dyDescent="0.25">
      <c r="A39" s="44"/>
      <c r="B39" s="27" t="s">
        <v>34</v>
      </c>
      <c r="C39" s="42"/>
      <c r="D39" s="42"/>
      <c r="E39" s="84"/>
      <c r="F39" s="43">
        <f>F40+F44</f>
        <v>21683994</v>
      </c>
      <c r="G39" s="43">
        <f>G40+G44</f>
        <v>0</v>
      </c>
      <c r="H39" s="23">
        <f t="shared" si="2"/>
        <v>21683994</v>
      </c>
    </row>
    <row r="40" spans="1:8" ht="31.5" customHeight="1" x14ac:dyDescent="0.25">
      <c r="A40" s="26"/>
      <c r="B40" s="27" t="s">
        <v>27</v>
      </c>
      <c r="C40" s="25"/>
      <c r="D40" s="25"/>
      <c r="E40" s="79"/>
      <c r="F40" s="22">
        <f>F41+F42+F43</f>
        <v>21451082</v>
      </c>
      <c r="G40" s="24"/>
      <c r="H40" s="23">
        <f t="shared" si="2"/>
        <v>21451082</v>
      </c>
    </row>
    <row r="41" spans="1:8" ht="16.5" customHeight="1" x14ac:dyDescent="0.25">
      <c r="A41" s="54"/>
      <c r="B41" s="1" t="s">
        <v>35</v>
      </c>
      <c r="C41" s="2" t="s">
        <v>79</v>
      </c>
      <c r="D41" s="2">
        <v>20</v>
      </c>
      <c r="E41" s="79">
        <v>1000000</v>
      </c>
      <c r="F41" s="3">
        <f>E41*D41</f>
        <v>20000000</v>
      </c>
      <c r="G41" s="77"/>
      <c r="H41" s="52">
        <f t="shared" si="2"/>
        <v>20000000</v>
      </c>
    </row>
    <row r="42" spans="1:8" ht="16.5" customHeight="1" x14ac:dyDescent="0.25">
      <c r="A42" s="54"/>
      <c r="B42" s="1" t="s">
        <v>36</v>
      </c>
      <c r="C42" s="2" t="s">
        <v>20</v>
      </c>
      <c r="D42" s="2">
        <v>1</v>
      </c>
      <c r="E42" s="79">
        <f>365282+35800</f>
        <v>401082</v>
      </c>
      <c r="F42" s="3">
        <f t="shared" ref="F42:F43" si="5">E42*D42</f>
        <v>401082</v>
      </c>
      <c r="G42" s="77"/>
      <c r="H42" s="52">
        <f t="shared" si="2"/>
        <v>401082</v>
      </c>
    </row>
    <row r="43" spans="1:8" ht="16.5" customHeight="1" x14ac:dyDescent="0.25">
      <c r="A43" s="54"/>
      <c r="B43" s="1" t="s">
        <v>80</v>
      </c>
      <c r="C43" s="2" t="s">
        <v>20</v>
      </c>
      <c r="D43" s="2">
        <v>2</v>
      </c>
      <c r="E43" s="79">
        <v>525000</v>
      </c>
      <c r="F43" s="3">
        <f t="shared" si="5"/>
        <v>1050000</v>
      </c>
      <c r="G43" s="77"/>
      <c r="H43" s="52">
        <f t="shared" si="2"/>
        <v>1050000</v>
      </c>
    </row>
    <row r="44" spans="1:8" ht="31.5" customHeight="1" x14ac:dyDescent="0.25">
      <c r="A44" s="19"/>
      <c r="B44" s="20" t="s">
        <v>100</v>
      </c>
      <c r="C44" s="2"/>
      <c r="D44" s="2"/>
      <c r="E44" s="79"/>
      <c r="F44" s="22">
        <f>F45+F46+F47</f>
        <v>232912</v>
      </c>
      <c r="G44" s="24"/>
      <c r="H44" s="23">
        <f t="shared" si="2"/>
        <v>232912</v>
      </c>
    </row>
    <row r="45" spans="1:8" ht="16.5" customHeight="1" x14ac:dyDescent="0.25">
      <c r="A45" s="2"/>
      <c r="B45" s="28" t="s">
        <v>81</v>
      </c>
      <c r="C45" s="29" t="s">
        <v>38</v>
      </c>
      <c r="D45" s="30">
        <v>6</v>
      </c>
      <c r="E45" s="79">
        <v>7384</v>
      </c>
      <c r="F45" s="3">
        <f>SUM(D45*E45)</f>
        <v>44304</v>
      </c>
      <c r="G45" s="77"/>
      <c r="H45" s="52">
        <f t="shared" si="2"/>
        <v>44304</v>
      </c>
    </row>
    <row r="46" spans="1:8" ht="16.5" customHeight="1" x14ac:dyDescent="0.25">
      <c r="A46" s="2"/>
      <c r="B46" s="31" t="s">
        <v>91</v>
      </c>
      <c r="C46" s="32" t="s">
        <v>39</v>
      </c>
      <c r="D46" s="33">
        <v>4</v>
      </c>
      <c r="E46" s="85">
        <v>25000</v>
      </c>
      <c r="F46" s="3">
        <f>SUM(D46*E46)</f>
        <v>100000</v>
      </c>
      <c r="G46" s="77"/>
      <c r="H46" s="52">
        <f t="shared" si="2"/>
        <v>100000</v>
      </c>
    </row>
    <row r="47" spans="1:8" ht="16.5" customHeight="1" x14ac:dyDescent="0.25">
      <c r="A47" s="2"/>
      <c r="B47" s="28" t="s">
        <v>82</v>
      </c>
      <c r="C47" s="34" t="s">
        <v>40</v>
      </c>
      <c r="D47" s="35">
        <v>4</v>
      </c>
      <c r="E47" s="53">
        <v>22152</v>
      </c>
      <c r="F47" s="3">
        <f>SUM(D47*E47)</f>
        <v>88608</v>
      </c>
      <c r="G47" s="77"/>
      <c r="H47" s="52">
        <f t="shared" si="2"/>
        <v>88608</v>
      </c>
    </row>
    <row r="48" spans="1:8" ht="33.75" customHeight="1" x14ac:dyDescent="0.25">
      <c r="A48" s="37"/>
      <c r="B48" s="38" t="s">
        <v>41</v>
      </c>
      <c r="C48" s="40"/>
      <c r="D48" s="40"/>
      <c r="E48" s="78"/>
      <c r="F48" s="41">
        <f>SUM(F49)</f>
        <v>1779183</v>
      </c>
      <c r="G48" s="41">
        <f>SUM(G51)</f>
        <v>0</v>
      </c>
      <c r="H48" s="23">
        <f t="shared" si="2"/>
        <v>1779183</v>
      </c>
    </row>
    <row r="49" spans="1:8" ht="33" customHeight="1" x14ac:dyDescent="0.25">
      <c r="A49" s="19"/>
      <c r="B49" s="20" t="s">
        <v>27</v>
      </c>
      <c r="C49" s="2"/>
      <c r="D49" s="2"/>
      <c r="E49" s="79"/>
      <c r="F49" s="22" cm="1">
        <f t="array" ref="F49">SUM(F51:F51+F50)</f>
        <v>1779183</v>
      </c>
      <c r="G49" s="22">
        <f>SUM(G51:G51)</f>
        <v>0</v>
      </c>
      <c r="H49" s="23">
        <f>F49-G49</f>
        <v>1779183</v>
      </c>
    </row>
    <row r="50" spans="1:8" ht="33" customHeight="1" x14ac:dyDescent="0.25">
      <c r="A50" s="19"/>
      <c r="B50" s="1" t="s">
        <v>99</v>
      </c>
      <c r="C50" s="2" t="s">
        <v>20</v>
      </c>
      <c r="D50" s="2">
        <v>2</v>
      </c>
      <c r="E50" s="79">
        <v>135000</v>
      </c>
      <c r="F50" s="3">
        <f>E50*D50</f>
        <v>270000</v>
      </c>
      <c r="G50" s="77"/>
      <c r="H50" s="52">
        <f>F50-G50</f>
        <v>270000</v>
      </c>
    </row>
    <row r="51" spans="1:8" ht="16.5" customHeight="1" x14ac:dyDescent="0.25">
      <c r="A51" s="2"/>
      <c r="B51" s="1" t="s">
        <v>42</v>
      </c>
      <c r="C51" s="2" t="s">
        <v>20</v>
      </c>
      <c r="D51" s="2">
        <v>9</v>
      </c>
      <c r="E51" s="79">
        <v>167687</v>
      </c>
      <c r="F51" s="3">
        <f>SUM(D51*E51)</f>
        <v>1509183</v>
      </c>
      <c r="G51" s="77"/>
      <c r="H51" s="52">
        <f t="shared" si="2"/>
        <v>1509183</v>
      </c>
    </row>
    <row r="52" spans="1:8" ht="16.5" customHeight="1" x14ac:dyDescent="0.25">
      <c r="A52" s="45"/>
      <c r="B52" s="46" t="s">
        <v>6</v>
      </c>
      <c r="C52" s="47"/>
      <c r="D52" s="48"/>
      <c r="E52" s="86"/>
      <c r="F52" s="49">
        <f>F14+F28+F26</f>
        <v>34555000</v>
      </c>
      <c r="G52" s="49">
        <f t="shared" ref="G52:H52" si="6">G14+G28+G26</f>
        <v>3150000</v>
      </c>
      <c r="H52" s="49">
        <f t="shared" si="6"/>
        <v>31405000</v>
      </c>
    </row>
    <row r="53" spans="1:8" ht="16.5" customHeight="1" x14ac:dyDescent="0.25">
      <c r="A53" s="50" t="s">
        <v>43</v>
      </c>
      <c r="B53" s="50"/>
      <c r="C53" s="50"/>
      <c r="D53" s="50"/>
      <c r="E53" s="50"/>
      <c r="F53" s="50"/>
      <c r="G53" s="50"/>
      <c r="H53" s="73"/>
    </row>
    <row r="54" spans="1:8" ht="13.5" customHeight="1" x14ac:dyDescent="0.25">
      <c r="A54" s="50"/>
      <c r="B54" s="74"/>
      <c r="C54" s="74"/>
      <c r="D54" s="74"/>
      <c r="E54" s="74"/>
      <c r="F54" s="74"/>
      <c r="G54" s="74"/>
      <c r="H54" s="75"/>
    </row>
    <row r="55" spans="1:8" ht="16.5" customHeight="1" x14ac:dyDescent="0.25">
      <c r="A55" s="50" t="s">
        <v>14</v>
      </c>
      <c r="B55" s="50"/>
      <c r="C55" s="50"/>
      <c r="D55" s="50"/>
      <c r="E55" s="50"/>
      <c r="F55" s="50"/>
      <c r="G55" s="50"/>
      <c r="H55" s="73"/>
    </row>
    <row r="56" spans="1:8" ht="11.25" customHeight="1" x14ac:dyDescent="0.25">
      <c r="A56" s="50"/>
      <c r="B56" s="50"/>
      <c r="C56" s="50"/>
      <c r="D56" s="50"/>
      <c r="E56" s="50"/>
      <c r="F56" s="50"/>
      <c r="G56" s="50"/>
      <c r="H56" s="50"/>
    </row>
    <row r="57" spans="1:8" ht="16.5" customHeight="1" x14ac:dyDescent="0.25">
      <c r="A57" s="50" t="s">
        <v>50</v>
      </c>
      <c r="B57" s="50"/>
      <c r="C57" s="50"/>
      <c r="D57" s="50"/>
      <c r="E57" s="50"/>
      <c r="F57" s="50"/>
      <c r="G57" s="50"/>
      <c r="H57" s="73"/>
    </row>
    <row r="58" spans="1:8" ht="16.5" customHeight="1" x14ac:dyDescent="0.25">
      <c r="A58" s="50"/>
      <c r="B58" s="50" t="s">
        <v>44</v>
      </c>
      <c r="C58" s="50"/>
      <c r="D58" s="50"/>
      <c r="E58" s="50"/>
      <c r="F58" s="50"/>
      <c r="G58" s="50"/>
      <c r="H58" s="50"/>
    </row>
    <row r="59" spans="1:8" ht="16.5" customHeight="1" x14ac:dyDescent="0.25">
      <c r="A59" s="50"/>
      <c r="B59" s="74"/>
      <c r="C59" s="74"/>
      <c r="D59" s="74"/>
      <c r="E59" s="74"/>
      <c r="F59" s="74"/>
      <c r="G59" s="74"/>
      <c r="H59" s="74"/>
    </row>
    <row r="60" spans="1:8" ht="16.5" customHeight="1" x14ac:dyDescent="0.25">
      <c r="A60" s="50" t="s">
        <v>45</v>
      </c>
      <c r="B60" s="50"/>
      <c r="C60" s="50"/>
      <c r="D60" s="50"/>
      <c r="E60" s="50"/>
      <c r="F60" s="50"/>
      <c r="G60" s="50"/>
      <c r="H60" s="73"/>
    </row>
    <row r="61" spans="1:8" ht="16.5" customHeight="1" x14ac:dyDescent="0.25">
      <c r="A61" s="50"/>
      <c r="B61" s="74"/>
      <c r="C61" s="74"/>
      <c r="D61" s="74"/>
      <c r="E61" s="74"/>
      <c r="F61" s="74"/>
      <c r="G61" s="74"/>
      <c r="H61" s="74"/>
    </row>
    <row r="62" spans="1:8" ht="16.5" customHeight="1" x14ac:dyDescent="0.25">
      <c r="A62" s="50" t="s">
        <v>46</v>
      </c>
      <c r="B62" s="50"/>
      <c r="C62" s="50"/>
      <c r="D62" s="50"/>
      <c r="E62" s="50"/>
      <c r="F62" s="50"/>
      <c r="G62" s="50"/>
      <c r="H62" s="73"/>
    </row>
    <row r="63" spans="1:8" ht="16.5" customHeight="1" x14ac:dyDescent="0.25">
      <c r="A63" s="50"/>
      <c r="B63" s="50"/>
      <c r="C63" s="50"/>
      <c r="D63" s="50"/>
      <c r="E63" s="50"/>
      <c r="F63" s="50"/>
      <c r="G63" s="50"/>
      <c r="H63" s="50"/>
    </row>
    <row r="64" spans="1:8" ht="16.5" customHeight="1" x14ac:dyDescent="0.25">
      <c r="A64" s="50" t="s">
        <v>47</v>
      </c>
      <c r="B64" s="50"/>
      <c r="C64" s="50"/>
      <c r="D64" s="50"/>
      <c r="E64" s="50"/>
      <c r="F64" s="50"/>
      <c r="G64" s="50"/>
      <c r="H64" s="73"/>
    </row>
    <row r="65" spans="1:8" ht="16.5" customHeight="1" x14ac:dyDescent="0.25">
      <c r="A65" s="50"/>
      <c r="B65" s="50"/>
      <c r="C65" s="50"/>
      <c r="D65" s="50"/>
      <c r="E65" s="50"/>
      <c r="F65" s="50"/>
      <c r="G65" s="50"/>
      <c r="H65" s="50"/>
    </row>
    <row r="66" spans="1:8" ht="16.5" customHeight="1" x14ac:dyDescent="0.25">
      <c r="A66" s="50" t="s">
        <v>71</v>
      </c>
      <c r="B66" s="50"/>
      <c r="C66" s="50"/>
      <c r="D66" s="50"/>
      <c r="E66" s="50"/>
      <c r="F66" s="50"/>
      <c r="G66" s="50"/>
      <c r="H66" s="73"/>
    </row>
    <row r="67" spans="1:8" ht="16.5" customHeight="1" x14ac:dyDescent="0.25">
      <c r="A67" s="50"/>
      <c r="B67" s="50" t="s">
        <v>44</v>
      </c>
      <c r="C67" s="50"/>
      <c r="D67" s="50"/>
      <c r="E67" s="50"/>
      <c r="F67" s="50"/>
      <c r="G67" s="50"/>
      <c r="H67" s="50"/>
    </row>
    <row r="68" spans="1:8" ht="16.5" customHeight="1" x14ac:dyDescent="0.25">
      <c r="A68" s="50" t="s">
        <v>48</v>
      </c>
      <c r="B68" s="50"/>
      <c r="C68" s="50"/>
      <c r="D68" s="50"/>
      <c r="E68" s="50"/>
      <c r="F68" s="50"/>
      <c r="G68" s="50"/>
      <c r="H68" s="73"/>
    </row>
    <row r="69" spans="1:8" ht="16.5" customHeight="1" x14ac:dyDescent="0.25">
      <c r="A69" s="50"/>
      <c r="B69" s="50"/>
      <c r="C69" s="50"/>
      <c r="D69" s="50"/>
      <c r="E69" s="50"/>
      <c r="F69" s="50"/>
      <c r="G69" s="50"/>
      <c r="H69" s="50"/>
    </row>
    <row r="70" spans="1:8" ht="16.5" customHeight="1" x14ac:dyDescent="0.25">
      <c r="A70" s="50" t="s">
        <v>70</v>
      </c>
      <c r="B70" s="50"/>
      <c r="C70" s="50"/>
      <c r="D70" s="50"/>
      <c r="E70" s="50"/>
      <c r="F70" s="50"/>
      <c r="G70" s="50"/>
      <c r="H70" s="73"/>
    </row>
    <row r="71" spans="1:8" ht="16.5" customHeight="1" x14ac:dyDescent="0.25">
      <c r="A71" s="50"/>
      <c r="B71" s="74"/>
      <c r="C71" s="74"/>
      <c r="D71" s="74"/>
      <c r="E71" s="74"/>
      <c r="F71" s="74"/>
      <c r="G71" s="74"/>
      <c r="H71" s="74"/>
    </row>
    <row r="72" spans="1:8" ht="16.5" customHeight="1" x14ac:dyDescent="0.25">
      <c r="A72" s="50" t="s">
        <v>49</v>
      </c>
      <c r="B72" s="74"/>
      <c r="C72" s="74"/>
      <c r="D72" s="74"/>
      <c r="E72" s="74"/>
      <c r="F72" s="74"/>
      <c r="G72" s="74"/>
      <c r="H72" s="73"/>
    </row>
    <row r="73" spans="1:8" ht="11.25" customHeight="1" x14ac:dyDescent="0.25">
      <c r="A73" s="50"/>
      <c r="B73" s="74"/>
      <c r="C73" s="74"/>
      <c r="D73" s="74"/>
      <c r="E73" s="74"/>
      <c r="F73" s="74"/>
      <c r="G73" s="74"/>
      <c r="H73" s="74"/>
    </row>
    <row r="74" spans="1:8" ht="16.5" customHeight="1" x14ac:dyDescent="0.25">
      <c r="A74" s="50" t="s">
        <v>69</v>
      </c>
      <c r="B74" s="74"/>
      <c r="C74" s="74"/>
      <c r="D74" s="74"/>
      <c r="E74" s="74"/>
      <c r="F74" s="74"/>
      <c r="G74" s="74"/>
      <c r="H74" s="73"/>
    </row>
    <row r="75" spans="1:8" ht="9.75" customHeight="1" x14ac:dyDescent="0.25">
      <c r="A75" s="50"/>
      <c r="B75" s="74"/>
      <c r="C75" s="74"/>
      <c r="D75" s="74"/>
      <c r="E75" s="74"/>
      <c r="F75" s="74"/>
      <c r="G75" s="74"/>
      <c r="H75" s="74"/>
    </row>
    <row r="76" spans="1:8" ht="16.5" customHeight="1" x14ac:dyDescent="0.25">
      <c r="A76" s="50" t="s">
        <v>68</v>
      </c>
      <c r="B76" s="74"/>
      <c r="C76" s="74"/>
      <c r="D76" s="74"/>
      <c r="E76" s="74"/>
      <c r="F76" s="74"/>
      <c r="G76" s="73"/>
      <c r="H76" s="73"/>
    </row>
    <row r="77" spans="1:8" ht="9" customHeight="1" x14ac:dyDescent="0.25">
      <c r="A77" s="50"/>
      <c r="B77" s="74"/>
      <c r="C77" s="74"/>
      <c r="D77" s="74"/>
      <c r="E77" s="74"/>
      <c r="F77" s="74"/>
      <c r="G77" s="74"/>
      <c r="H77" s="74"/>
    </row>
    <row r="78" spans="1:8" ht="16.5" customHeight="1" x14ac:dyDescent="0.25">
      <c r="A78" s="50" t="s">
        <v>67</v>
      </c>
      <c r="B78" s="74"/>
      <c r="C78" s="74"/>
      <c r="D78" s="74"/>
      <c r="E78" s="74"/>
      <c r="F78" s="74"/>
      <c r="G78" s="74"/>
      <c r="H78" s="73"/>
    </row>
  </sheetData>
  <mergeCells count="14">
    <mergeCell ref="F11:F12"/>
    <mergeCell ref="G11:H11"/>
    <mergeCell ref="A11:A12"/>
    <mergeCell ref="B11:B12"/>
    <mergeCell ref="C11:C12"/>
    <mergeCell ref="D11:D12"/>
    <mergeCell ref="E11:E12"/>
    <mergeCell ref="A1:H1"/>
    <mergeCell ref="A5:H5"/>
    <mergeCell ref="A7:H7"/>
    <mergeCell ref="A8:H8"/>
    <mergeCell ref="A9:H9"/>
    <mergeCell ref="A2:H2"/>
    <mergeCell ref="A3:H3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9537D-4C5B-4348-9AEF-35DCA076B17D}">
  <dimension ref="A1:J14"/>
  <sheetViews>
    <sheetView zoomScaleNormal="100" workbookViewId="0">
      <selection activeCell="H22" sqref="H22"/>
    </sheetView>
  </sheetViews>
  <sheetFormatPr defaultRowHeight="12.75" x14ac:dyDescent="0.25"/>
  <cols>
    <col min="1" max="1" width="20.5703125" style="11" customWidth="1"/>
    <col min="2" max="16384" width="9.140625" style="11"/>
  </cols>
  <sheetData>
    <row r="1" spans="1:10" x14ac:dyDescent="0.25">
      <c r="A1" s="8" t="s">
        <v>16</v>
      </c>
      <c r="B1" s="9" t="s">
        <v>15</v>
      </c>
      <c r="C1" s="9">
        <v>8</v>
      </c>
      <c r="D1" s="10">
        <v>200000</v>
      </c>
      <c r="E1" s="6">
        <f>SUM(C1*D1)</f>
        <v>1600000</v>
      </c>
    </row>
    <row r="2" spans="1:10" x14ac:dyDescent="0.25">
      <c r="A2" s="8" t="s">
        <v>17</v>
      </c>
      <c r="B2" s="9" t="s">
        <v>15</v>
      </c>
      <c r="C2" s="9">
        <v>8</v>
      </c>
      <c r="D2" s="10">
        <v>200000</v>
      </c>
      <c r="E2" s="6">
        <f t="shared" ref="E2:E6" si="0">SUM(C2*D2)</f>
        <v>1600000</v>
      </c>
    </row>
    <row r="3" spans="1:10" x14ac:dyDescent="0.25">
      <c r="A3" s="8" t="s">
        <v>66</v>
      </c>
      <c r="B3" s="9" t="s">
        <v>18</v>
      </c>
      <c r="C3" s="9">
        <v>8</v>
      </c>
      <c r="D3" s="10">
        <f>6300+6300</f>
        <v>12600</v>
      </c>
      <c r="E3" s="12">
        <f t="shared" si="0"/>
        <v>100800</v>
      </c>
    </row>
    <row r="4" spans="1:10" x14ac:dyDescent="0.25">
      <c r="A4" s="8" t="s">
        <v>62</v>
      </c>
      <c r="B4" s="9" t="s">
        <v>18</v>
      </c>
      <c r="C4" s="9">
        <v>8</v>
      </c>
      <c r="D4" s="10">
        <f>10420+10420</f>
        <v>20840</v>
      </c>
      <c r="E4" s="12">
        <f t="shared" si="0"/>
        <v>166720</v>
      </c>
    </row>
    <row r="5" spans="1:10" x14ac:dyDescent="0.25">
      <c r="A5" s="8" t="s">
        <v>61</v>
      </c>
      <c r="B5" s="9" t="s">
        <v>18</v>
      </c>
      <c r="C5" s="9">
        <v>8</v>
      </c>
      <c r="D5" s="10">
        <f>3000</f>
        <v>3000</v>
      </c>
      <c r="E5" s="12">
        <f>SUM(C5*D5)</f>
        <v>24000</v>
      </c>
    </row>
    <row r="6" spans="1:10" x14ac:dyDescent="0.25">
      <c r="A6" s="8" t="s">
        <v>65</v>
      </c>
      <c r="B6" s="9" t="s">
        <v>18</v>
      </c>
      <c r="C6" s="9">
        <v>8</v>
      </c>
      <c r="D6" s="10">
        <f>12000</f>
        <v>12000</v>
      </c>
      <c r="E6" s="12">
        <f t="shared" si="0"/>
        <v>96000</v>
      </c>
    </row>
    <row r="10" spans="1:10" x14ac:dyDescent="0.25">
      <c r="A10" s="8" t="s">
        <v>55</v>
      </c>
      <c r="B10" s="8" t="s">
        <v>56</v>
      </c>
      <c r="C10" s="8" t="s">
        <v>57</v>
      </c>
      <c r="D10" s="8" t="s">
        <v>58</v>
      </c>
      <c r="E10" s="8" t="s">
        <v>59</v>
      </c>
      <c r="F10" s="8" t="s">
        <v>60</v>
      </c>
      <c r="G10" s="8" t="s">
        <v>61</v>
      </c>
      <c r="H10" s="8" t="s">
        <v>62</v>
      </c>
      <c r="I10" s="8" t="s">
        <v>63</v>
      </c>
      <c r="J10" s="8" t="s">
        <v>64</v>
      </c>
    </row>
    <row r="11" spans="1:10" x14ac:dyDescent="0.25">
      <c r="A11" s="5">
        <v>200000</v>
      </c>
      <c r="B11" s="5">
        <f>A11*10%</f>
        <v>20000</v>
      </c>
      <c r="C11" s="5">
        <f>((A11-B11-(14*3692))-D11)*0.1</f>
        <v>12431.2</v>
      </c>
      <c r="D11" s="5">
        <f>A11*2%</f>
        <v>4000</v>
      </c>
      <c r="E11" s="5">
        <f>A11-B11-C11-D11</f>
        <v>163568.79999999999</v>
      </c>
      <c r="F11" s="5">
        <f>(A11-B11)*0.035</f>
        <v>6300.0000000000009</v>
      </c>
      <c r="G11" s="5">
        <v>0</v>
      </c>
      <c r="H11" s="5">
        <f>((A11-B11-D11)*9.5%)-F11</f>
        <v>10420</v>
      </c>
      <c r="I11" s="5">
        <f>A11*3%</f>
        <v>6000</v>
      </c>
      <c r="J11" s="5">
        <f>B11+C11+D11+E11</f>
        <v>200000</v>
      </c>
    </row>
    <row r="12" spans="1:10" x14ac:dyDescent="0.25">
      <c r="A12" s="5">
        <v>200000</v>
      </c>
      <c r="B12" s="5">
        <f t="shared" ref="B12" si="1">A12*10%</f>
        <v>20000</v>
      </c>
      <c r="C12" s="5">
        <f t="shared" ref="C12" si="2">((A12-B12-(14*3692))-D12)*0.1</f>
        <v>12431.2</v>
      </c>
      <c r="D12" s="5">
        <f t="shared" ref="D12" si="3">A12*2%</f>
        <v>4000</v>
      </c>
      <c r="E12" s="5">
        <f t="shared" ref="E12" si="4">A12-B12-C12-D12</f>
        <v>163568.79999999999</v>
      </c>
      <c r="F12" s="5">
        <f t="shared" ref="F12" si="5">(A12-B12)*0.035</f>
        <v>6300.0000000000009</v>
      </c>
      <c r="G12" s="5">
        <f>A12*0.015</f>
        <v>3000</v>
      </c>
      <c r="H12" s="5">
        <f t="shared" ref="H12" si="6">((A12-B12-D12)*9.5%)-F12</f>
        <v>10420</v>
      </c>
      <c r="I12" s="5">
        <f t="shared" ref="I12" si="7">A12*3%</f>
        <v>6000</v>
      </c>
      <c r="J12" s="5">
        <f t="shared" ref="J12" si="8">B12+C12+D12+E12</f>
        <v>200000</v>
      </c>
    </row>
    <row r="13" spans="1:10" x14ac:dyDescent="0.25">
      <c r="A13" s="5" t="s">
        <v>64</v>
      </c>
      <c r="B13" s="5">
        <f t="shared" ref="B13:J13" si="9">SUM(B11:B12)</f>
        <v>40000</v>
      </c>
      <c r="C13" s="5">
        <f t="shared" si="9"/>
        <v>24862.400000000001</v>
      </c>
      <c r="D13" s="5">
        <f t="shared" si="9"/>
        <v>8000</v>
      </c>
      <c r="E13" s="5">
        <f t="shared" si="9"/>
        <v>327137.59999999998</v>
      </c>
      <c r="F13" s="5">
        <f t="shared" si="9"/>
        <v>12600.000000000002</v>
      </c>
      <c r="G13" s="5">
        <f t="shared" si="9"/>
        <v>3000</v>
      </c>
      <c r="H13" s="5">
        <f t="shared" si="9"/>
        <v>20840</v>
      </c>
      <c r="I13" s="5">
        <f t="shared" si="9"/>
        <v>12000</v>
      </c>
      <c r="J13" s="5">
        <f t="shared" si="9"/>
        <v>400000</v>
      </c>
    </row>
    <row r="14" spans="1:10" x14ac:dyDescent="0.25">
      <c r="A14" s="9"/>
      <c r="B14" s="9">
        <f>B13*8</f>
        <v>320000</v>
      </c>
      <c r="C14" s="9">
        <f t="shared" ref="C14:J14" si="10">C13*8</f>
        <v>198899.20000000001</v>
      </c>
      <c r="D14" s="9">
        <f t="shared" si="10"/>
        <v>64000</v>
      </c>
      <c r="E14" s="9">
        <f t="shared" si="10"/>
        <v>2617100.7999999998</v>
      </c>
      <c r="F14" s="13">
        <f t="shared" si="10"/>
        <v>100800.00000000001</v>
      </c>
      <c r="G14" s="13">
        <f t="shared" si="10"/>
        <v>24000</v>
      </c>
      <c r="H14" s="13">
        <f t="shared" si="10"/>
        <v>166720</v>
      </c>
      <c r="I14" s="13">
        <f t="shared" si="10"/>
        <v>96000</v>
      </c>
      <c r="J14" s="9">
        <f t="shared" si="10"/>
        <v>3200000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F24F0-62A5-4FD1-945A-5D49118D3492}">
  <dimension ref="A1:J14"/>
  <sheetViews>
    <sheetView workbookViewId="0">
      <selection activeCell="G25" sqref="G25"/>
    </sheetView>
  </sheetViews>
  <sheetFormatPr defaultRowHeight="12.75" x14ac:dyDescent="0.25"/>
  <cols>
    <col min="1" max="1" width="20.5703125" style="36" customWidth="1"/>
    <col min="2" max="16384" width="9.140625" style="7"/>
  </cols>
  <sheetData>
    <row r="1" spans="1:10" x14ac:dyDescent="0.2">
      <c r="A1" s="62" t="s">
        <v>16</v>
      </c>
      <c r="B1" s="4" t="s">
        <v>15</v>
      </c>
      <c r="C1" s="58">
        <v>9</v>
      </c>
      <c r="D1" s="59">
        <v>200000</v>
      </c>
      <c r="E1" s="51">
        <f>SUM(C1*D1)</f>
        <v>1800000</v>
      </c>
    </row>
    <row r="2" spans="1:10" x14ac:dyDescent="0.2">
      <c r="A2" s="62" t="s">
        <v>17</v>
      </c>
      <c r="B2" s="4" t="s">
        <v>15</v>
      </c>
      <c r="C2" s="58">
        <v>9</v>
      </c>
      <c r="D2" s="59">
        <v>200000</v>
      </c>
      <c r="E2" s="51">
        <f t="shared" ref="E2:E6" si="0">SUM(C2*D2)</f>
        <v>1800000</v>
      </c>
    </row>
    <row r="3" spans="1:10" x14ac:dyDescent="0.2">
      <c r="A3" s="62" t="s">
        <v>66</v>
      </c>
      <c r="B3" s="4" t="s">
        <v>18</v>
      </c>
      <c r="C3" s="58">
        <v>9</v>
      </c>
      <c r="D3" s="59">
        <f>6300+6300</f>
        <v>12600</v>
      </c>
      <c r="E3" s="61">
        <f t="shared" si="0"/>
        <v>113400</v>
      </c>
    </row>
    <row r="4" spans="1:10" x14ac:dyDescent="0.2">
      <c r="A4" s="62" t="s">
        <v>62</v>
      </c>
      <c r="B4" s="4" t="s">
        <v>18</v>
      </c>
      <c r="C4" s="58">
        <v>9</v>
      </c>
      <c r="D4" s="59">
        <f>10420+10420</f>
        <v>20840</v>
      </c>
      <c r="E4" s="61">
        <f t="shared" si="0"/>
        <v>187560</v>
      </c>
    </row>
    <row r="5" spans="1:10" x14ac:dyDescent="0.2">
      <c r="A5" s="62" t="s">
        <v>61</v>
      </c>
      <c r="B5" s="4" t="s">
        <v>18</v>
      </c>
      <c r="C5" s="58">
        <v>9</v>
      </c>
      <c r="D5" s="59">
        <f>3000</f>
        <v>3000</v>
      </c>
      <c r="E5" s="61">
        <f t="shared" si="0"/>
        <v>27000</v>
      </c>
    </row>
    <row r="6" spans="1:10" x14ac:dyDescent="0.2">
      <c r="A6" s="62" t="s">
        <v>65</v>
      </c>
      <c r="B6" s="4" t="s">
        <v>18</v>
      </c>
      <c r="C6" s="58">
        <v>9</v>
      </c>
      <c r="D6" s="59">
        <f>12000</f>
        <v>12000</v>
      </c>
      <c r="E6" s="61">
        <f t="shared" si="0"/>
        <v>108000</v>
      </c>
    </row>
    <row r="10" spans="1:10" x14ac:dyDescent="0.25">
      <c r="A10" s="63" t="s">
        <v>55</v>
      </c>
      <c r="B10" s="55" t="s">
        <v>56</v>
      </c>
      <c r="C10" s="55" t="s">
        <v>57</v>
      </c>
      <c r="D10" s="55" t="s">
        <v>58</v>
      </c>
      <c r="E10" s="55" t="s">
        <v>59</v>
      </c>
      <c r="F10" s="55" t="s">
        <v>60</v>
      </c>
      <c r="G10" s="55" t="s">
        <v>61</v>
      </c>
      <c r="H10" s="55" t="s">
        <v>62</v>
      </c>
      <c r="I10" s="55" t="s">
        <v>63</v>
      </c>
      <c r="J10" s="55" t="s">
        <v>64</v>
      </c>
    </row>
    <row r="11" spans="1:10" x14ac:dyDescent="0.25">
      <c r="A11" s="64">
        <v>200000</v>
      </c>
      <c r="B11" s="56">
        <f>A11*10%</f>
        <v>20000</v>
      </c>
      <c r="C11" s="56">
        <f>((A11-B11-(14*3692))-D11)*0.1</f>
        <v>12431.2</v>
      </c>
      <c r="D11" s="56">
        <f>A11*2%</f>
        <v>4000</v>
      </c>
      <c r="E11" s="56">
        <f>A11-B11-C11-D11</f>
        <v>163568.79999999999</v>
      </c>
      <c r="F11" s="56">
        <f>(A11-B11)*0.035</f>
        <v>6300.0000000000009</v>
      </c>
      <c r="G11" s="56">
        <f>A11*0.015</f>
        <v>3000</v>
      </c>
      <c r="H11" s="56">
        <f>((A11-B11-D11)*9.5%)-F11</f>
        <v>10420</v>
      </c>
      <c r="I11" s="56">
        <f>A11*3%</f>
        <v>6000</v>
      </c>
      <c r="J11" s="56">
        <f>B11+C11+D11+E11</f>
        <v>200000</v>
      </c>
    </row>
    <row r="12" spans="1:10" x14ac:dyDescent="0.25">
      <c r="A12" s="64">
        <v>200000</v>
      </c>
      <c r="B12" s="56">
        <f t="shared" ref="B12" si="1">A12*10%</f>
        <v>20000</v>
      </c>
      <c r="C12" s="56">
        <f t="shared" ref="C12" si="2">((A12-B12-(14*3692))-D12)*0.1</f>
        <v>12431.2</v>
      </c>
      <c r="D12" s="56">
        <f t="shared" ref="D12" si="3">A12*2%</f>
        <v>4000</v>
      </c>
      <c r="E12" s="56">
        <f t="shared" ref="E12" si="4">A12-B12-C12-D12</f>
        <v>163568.79999999999</v>
      </c>
      <c r="F12" s="56">
        <f t="shared" ref="F12" si="5">(A12-B12)*0.035</f>
        <v>6300.0000000000009</v>
      </c>
      <c r="G12" s="56"/>
      <c r="H12" s="56">
        <f t="shared" ref="H12" si="6">((A12-B12-D12)*9.5%)-F12</f>
        <v>10420</v>
      </c>
      <c r="I12" s="56">
        <f t="shared" ref="I12" si="7">A12*3%</f>
        <v>6000</v>
      </c>
      <c r="J12" s="56">
        <f t="shared" ref="J12" si="8">B12+C12+D12+E12</f>
        <v>200000</v>
      </c>
    </row>
    <row r="13" spans="1:10" x14ac:dyDescent="0.25">
      <c r="A13" s="65" t="s">
        <v>64</v>
      </c>
      <c r="B13" s="56">
        <f t="shared" ref="B13:J13" si="9">SUM(B11:B12)</f>
        <v>40000</v>
      </c>
      <c r="C13" s="56">
        <f t="shared" si="9"/>
        <v>24862.400000000001</v>
      </c>
      <c r="D13" s="56">
        <f t="shared" si="9"/>
        <v>8000</v>
      </c>
      <c r="E13" s="56">
        <f t="shared" si="9"/>
        <v>327137.59999999998</v>
      </c>
      <c r="F13" s="56">
        <f t="shared" si="9"/>
        <v>12600.000000000002</v>
      </c>
      <c r="G13" s="56">
        <f t="shared" si="9"/>
        <v>3000</v>
      </c>
      <c r="H13" s="56">
        <f t="shared" si="9"/>
        <v>20840</v>
      </c>
      <c r="I13" s="56">
        <f t="shared" si="9"/>
        <v>12000</v>
      </c>
      <c r="J13" s="56">
        <f t="shared" si="9"/>
        <v>400000</v>
      </c>
    </row>
    <row r="14" spans="1:10" x14ac:dyDescent="0.25">
      <c r="B14" s="57">
        <f>B13*9</f>
        <v>360000</v>
      </c>
      <c r="C14" s="57">
        <f t="shared" ref="C14:J14" si="10">C13*9</f>
        <v>223761.6</v>
      </c>
      <c r="D14" s="57">
        <f t="shared" si="10"/>
        <v>72000</v>
      </c>
      <c r="E14" s="57">
        <f t="shared" si="10"/>
        <v>2944238.4</v>
      </c>
      <c r="F14" s="60">
        <f t="shared" si="10"/>
        <v>113400.00000000001</v>
      </c>
      <c r="G14" s="60">
        <f t="shared" si="10"/>
        <v>27000</v>
      </c>
      <c r="H14" s="60">
        <f t="shared" si="10"/>
        <v>187560</v>
      </c>
      <c r="I14" s="60">
        <f t="shared" si="10"/>
        <v>108000</v>
      </c>
      <c r="J14" s="57">
        <f t="shared" si="10"/>
        <v>3600000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2024 год </vt:lpstr>
      <vt:lpstr>2025 год</vt:lpstr>
      <vt:lpstr>ЗП 2024</vt:lpstr>
      <vt:lpstr>ЗП 2025</vt:lpstr>
      <vt:lpstr>'2025 год'!Область_печати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CISC</cp:lastModifiedBy>
  <cp:lastPrinted>2024-04-09T05:03:00Z</cp:lastPrinted>
  <dcterms:created xsi:type="dcterms:W3CDTF">2021-01-27T10:48:44Z</dcterms:created>
  <dcterms:modified xsi:type="dcterms:W3CDTF">2024-04-13T10:45:43Z</dcterms:modified>
</cp:coreProperties>
</file>