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3CAFF6D-7443-41A5-AEA6-40556CF12959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отч_2_корректировка1" sheetId="5" r:id="rId1"/>
    <sheet name="отч_3" sheetId="2" r:id="rId2"/>
    <sheet name="отч_4_Корректировка2" sheetId="4" r:id="rId3"/>
  </sheets>
  <definedNames>
    <definedName name="_Hlk32248595" localSheetId="0">отч_2_корректировка1!$A$49</definedName>
    <definedName name="_Hlk32248595" localSheetId="1">отч_3!$A$62</definedName>
    <definedName name="_Hlk32248595" localSheetId="2">отч_4_Корректировка2!$A$54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5" l="1"/>
  <c r="C32" i="5"/>
  <c r="C31" i="5"/>
  <c r="C30" i="5" s="1"/>
  <c r="J30" i="5"/>
  <c r="I30" i="5"/>
  <c r="E30" i="5"/>
  <c r="C28" i="5"/>
  <c r="J27" i="5"/>
  <c r="I27" i="5"/>
  <c r="E27" i="5"/>
  <c r="E26" i="5" s="1"/>
  <c r="C27" i="5"/>
  <c r="C26" i="5" s="1"/>
  <c r="J26" i="5" s="1"/>
  <c r="I26" i="5"/>
  <c r="E25" i="5"/>
  <c r="E23" i="5" s="1"/>
  <c r="C25" i="5"/>
  <c r="C23" i="5" s="1"/>
  <c r="E24" i="5"/>
  <c r="I24" i="5" s="1"/>
  <c r="C24" i="5"/>
  <c r="J24" i="5" s="1"/>
  <c r="I22" i="5"/>
  <c r="J22" i="5" s="1"/>
  <c r="J21" i="5"/>
  <c r="I21" i="5"/>
  <c r="I20" i="5"/>
  <c r="J20" i="5" s="1"/>
  <c r="I19" i="5"/>
  <c r="J19" i="5" s="1"/>
  <c r="E19" i="5"/>
  <c r="I18" i="5"/>
  <c r="J18" i="5" s="1"/>
  <c r="E18" i="5"/>
  <c r="E17" i="5"/>
  <c r="I17" i="5" s="1"/>
  <c r="J17" i="5" s="1"/>
  <c r="E16" i="5"/>
  <c r="I16" i="5" s="1"/>
  <c r="J16" i="5" s="1"/>
  <c r="J15" i="5"/>
  <c r="I15" i="5"/>
  <c r="E15" i="5"/>
  <c r="E14" i="5"/>
  <c r="I14" i="5" s="1"/>
  <c r="J14" i="5" s="1"/>
  <c r="E13" i="5"/>
  <c r="I13" i="5" s="1"/>
  <c r="C12" i="5"/>
  <c r="C11" i="5" s="1"/>
  <c r="J13" i="5" l="1"/>
  <c r="I12" i="5"/>
  <c r="I11" i="5" s="1"/>
  <c r="C38" i="5"/>
  <c r="J11" i="5"/>
  <c r="E12" i="5"/>
  <c r="E11" i="5" s="1"/>
  <c r="E38" i="5" s="1"/>
  <c r="I25" i="5"/>
  <c r="J25" i="5" s="1"/>
  <c r="J12" i="5"/>
  <c r="I23" i="5" l="1"/>
  <c r="J23" i="5" s="1"/>
  <c r="J38" i="5" s="1"/>
  <c r="I38" i="5" l="1"/>
  <c r="H38" i="4" l="1"/>
  <c r="G13" i="4"/>
  <c r="G14" i="4"/>
  <c r="G15" i="4"/>
  <c r="G16" i="4"/>
  <c r="G17" i="4"/>
  <c r="G18" i="4"/>
  <c r="G19" i="4"/>
  <c r="G20" i="4"/>
  <c r="G21" i="4"/>
  <c r="G28" i="4"/>
  <c r="G27" i="4" s="1"/>
  <c r="G31" i="4"/>
  <c r="G30" i="4" s="1"/>
  <c r="G32" i="4"/>
  <c r="G36" i="4"/>
  <c r="G34" i="4" s="1"/>
  <c r="G37" i="4"/>
  <c r="G26" i="4" l="1"/>
  <c r="G12" i="4"/>
  <c r="G11" i="4" s="1"/>
  <c r="G38" i="4" s="1"/>
  <c r="C12" i="4"/>
  <c r="I37" i="4"/>
  <c r="C37" i="4"/>
  <c r="F36" i="4"/>
  <c r="F34" i="4" s="1"/>
  <c r="C36" i="4"/>
  <c r="I35" i="4"/>
  <c r="J35" i="4" s="1"/>
  <c r="E34" i="4"/>
  <c r="I34" i="4" s="1"/>
  <c r="I33" i="4"/>
  <c r="J33" i="4" s="1"/>
  <c r="I32" i="4"/>
  <c r="C32" i="4"/>
  <c r="J32" i="4" s="1"/>
  <c r="F31" i="4"/>
  <c r="I31" i="4" s="1"/>
  <c r="C31" i="4"/>
  <c r="E30" i="4"/>
  <c r="I29" i="4"/>
  <c r="J29" i="4" s="1"/>
  <c r="C28" i="4"/>
  <c r="C27" i="4" s="1"/>
  <c r="F27" i="4"/>
  <c r="E27" i="4"/>
  <c r="E25" i="4"/>
  <c r="I25" i="4" s="1"/>
  <c r="C25" i="4"/>
  <c r="E24" i="4"/>
  <c r="I24" i="4" s="1"/>
  <c r="C24" i="4"/>
  <c r="F23" i="4"/>
  <c r="F22" i="4"/>
  <c r="G22" i="4" s="1"/>
  <c r="C22" i="4"/>
  <c r="I21" i="4"/>
  <c r="J21" i="4" s="1"/>
  <c r="I20" i="4"/>
  <c r="J20" i="4" s="1"/>
  <c r="F19" i="4"/>
  <c r="E19" i="4"/>
  <c r="F18" i="4"/>
  <c r="E18" i="4"/>
  <c r="I18" i="4" s="1"/>
  <c r="J18" i="4" s="1"/>
  <c r="F17" i="4"/>
  <c r="E17" i="4"/>
  <c r="I17" i="4" s="1"/>
  <c r="J17" i="4" s="1"/>
  <c r="F16" i="4"/>
  <c r="E16" i="4"/>
  <c r="I16" i="4" s="1"/>
  <c r="J16" i="4" s="1"/>
  <c r="F15" i="4"/>
  <c r="E15" i="4"/>
  <c r="F14" i="4"/>
  <c r="E14" i="4"/>
  <c r="F13" i="4"/>
  <c r="E13" i="4"/>
  <c r="I13" i="4" s="1"/>
  <c r="J13" i="4" s="1"/>
  <c r="J24" i="4" l="1"/>
  <c r="J31" i="4"/>
  <c r="I14" i="4"/>
  <c r="J14" i="4" s="1"/>
  <c r="E23" i="4"/>
  <c r="I23" i="4" s="1"/>
  <c r="I15" i="4"/>
  <c r="J15" i="4" s="1"/>
  <c r="C11" i="4"/>
  <c r="F30" i="4"/>
  <c r="I30" i="4" s="1"/>
  <c r="F12" i="4"/>
  <c r="F11" i="4" s="1"/>
  <c r="C30" i="4"/>
  <c r="I19" i="4"/>
  <c r="J19" i="4" s="1"/>
  <c r="I27" i="4"/>
  <c r="J27" i="4" s="1"/>
  <c r="J37" i="4"/>
  <c r="J25" i="4"/>
  <c r="I22" i="4"/>
  <c r="J22" i="4" s="1"/>
  <c r="I28" i="4"/>
  <c r="J28" i="4" s="1"/>
  <c r="I36" i="4"/>
  <c r="J36" i="4" s="1"/>
  <c r="E12" i="4"/>
  <c r="E26" i="4"/>
  <c r="C23" i="4"/>
  <c r="C34" i="4"/>
  <c r="J34" i="4" s="1"/>
  <c r="J30" i="4" l="1"/>
  <c r="J23" i="4"/>
  <c r="F26" i="4"/>
  <c r="I26" i="4" s="1"/>
  <c r="C26" i="4"/>
  <c r="I12" i="4"/>
  <c r="J12" i="4" s="1"/>
  <c r="E11" i="4"/>
  <c r="I11" i="4" s="1"/>
  <c r="J26" i="4" l="1"/>
  <c r="F38" i="4"/>
  <c r="C38" i="4"/>
  <c r="E38" i="4"/>
  <c r="J11" i="4"/>
  <c r="I38" i="4" l="1"/>
  <c r="J38" i="4" s="1"/>
  <c r="C52" i="2" l="1"/>
  <c r="C55" i="2" s="1"/>
  <c r="F19" i="2"/>
  <c r="E34" i="2" l="1"/>
  <c r="E30" i="2"/>
  <c r="E27" i="2"/>
  <c r="E26" i="2" s="1"/>
  <c r="E25" i="2"/>
  <c r="E24" i="2"/>
  <c r="E23" i="2"/>
  <c r="E19" i="2"/>
  <c r="E18" i="2"/>
  <c r="E17" i="2"/>
  <c r="E16" i="2"/>
  <c r="E15" i="2"/>
  <c r="E14" i="2"/>
  <c r="E13" i="2"/>
  <c r="E12" i="2"/>
  <c r="E11" i="2" s="1"/>
  <c r="E38" i="2" l="1"/>
  <c r="F36" i="2"/>
  <c r="F34" i="2" s="1"/>
  <c r="F31" i="2"/>
  <c r="F30" i="2" s="1"/>
  <c r="F27" i="2"/>
  <c r="F23" i="2"/>
  <c r="F22" i="2"/>
  <c r="F18" i="2"/>
  <c r="F17" i="2"/>
  <c r="F16" i="2"/>
  <c r="F15" i="2"/>
  <c r="F14" i="2"/>
  <c r="F13" i="2"/>
  <c r="F12" i="2"/>
  <c r="F11" i="2" l="1"/>
  <c r="F26" i="2"/>
  <c r="F38" i="2" s="1"/>
  <c r="F53" i="2"/>
  <c r="F54" i="2" l="1"/>
  <c r="F55" i="2" s="1"/>
  <c r="I38" i="2"/>
  <c r="I31" i="2"/>
  <c r="I17" i="2"/>
  <c r="J17" i="2" s="1"/>
  <c r="I13" i="2"/>
  <c r="J13" i="2" s="1"/>
  <c r="I14" i="2"/>
  <c r="J14" i="2" s="1"/>
  <c r="I15" i="2"/>
  <c r="J15" i="2" s="1"/>
  <c r="I16" i="2"/>
  <c r="J16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I24" i="2"/>
  <c r="I25" i="2"/>
  <c r="I28" i="2"/>
  <c r="I29" i="2"/>
  <c r="J29" i="2" s="1"/>
  <c r="I32" i="2"/>
  <c r="I33" i="2"/>
  <c r="J33" i="2" s="1"/>
  <c r="I35" i="2"/>
  <c r="J35" i="2" s="1"/>
  <c r="I36" i="2"/>
  <c r="J36" i="2" s="1"/>
  <c r="I37" i="2"/>
  <c r="J37" i="2" s="1"/>
  <c r="K53" i="2" l="1"/>
  <c r="K54" i="2"/>
  <c r="I34" i="2"/>
  <c r="I27" i="2"/>
  <c r="I30" i="2"/>
  <c r="I26" i="2" l="1"/>
  <c r="I12" i="2" l="1"/>
  <c r="C12" i="2"/>
  <c r="C11" i="2" s="1"/>
  <c r="C24" i="2"/>
  <c r="J24" i="2" s="1"/>
  <c r="C25" i="2"/>
  <c r="J25" i="2" s="1"/>
  <c r="C28" i="2"/>
  <c r="J28" i="2" s="1"/>
  <c r="C31" i="2"/>
  <c r="C32" i="2"/>
  <c r="J32" i="2" s="1"/>
  <c r="C34" i="2"/>
  <c r="J34" i="2" s="1"/>
  <c r="C27" i="2" l="1"/>
  <c r="J27" i="2" s="1"/>
  <c r="C23" i="2"/>
  <c r="J23" i="2" s="1"/>
  <c r="J12" i="2"/>
  <c r="C30" i="2"/>
  <c r="J30" i="2" s="1"/>
  <c r="J31" i="2"/>
  <c r="I11" i="2"/>
  <c r="J11" i="2" s="1"/>
  <c r="C26" i="2"/>
  <c r="J26" i="2" s="1"/>
  <c r="C38" i="2"/>
  <c r="J38" i="2" l="1"/>
</calcChain>
</file>

<file path=xl/sharedStrings.xml><?xml version="1.0" encoding="utf-8"?>
<sst xmlns="http://schemas.openxmlformats.org/spreadsheetml/2006/main" count="199" uniqueCount="88">
  <si>
    <t xml:space="preserve">М.П. </t>
  </si>
  <si>
    <t>Дата:</t>
  </si>
  <si>
    <t>ФИО (при его наличии)</t>
  </si>
  <si>
    <t>Бухгалтер организации _____________</t>
  </si>
  <si>
    <t>Руководитель организации _____________</t>
  </si>
  <si>
    <t>Итого</t>
  </si>
  <si>
    <t>Таргет</t>
  </si>
  <si>
    <t>Съемка и монтаж рилсов</t>
  </si>
  <si>
    <t>Съемка и монтаж подкастов</t>
  </si>
  <si>
    <t>Мероприятие 4.  Проведение имиджевых мероприятий НПО</t>
  </si>
  <si>
    <t>Мероприятие 3. Координация мероприятий НПО</t>
  </si>
  <si>
    <t>Услуги интернет связи</t>
  </si>
  <si>
    <t xml:space="preserve">Аренда оборудования для кабинета </t>
  </si>
  <si>
    <t>Мероприятие 2. Оснащение кабинета для проведения обучающих мероприятий НПО</t>
  </si>
  <si>
    <t>Услуги обучения СММ</t>
  </si>
  <si>
    <t>Мероприятие 1. Создание рабочего кабинета для НПО</t>
  </si>
  <si>
    <t>Прямые расходы:</t>
  </si>
  <si>
    <t>Принтер</t>
  </si>
  <si>
    <t>Ноутбук</t>
  </si>
  <si>
    <t>Материально-техническое обеспечение:</t>
  </si>
  <si>
    <t xml:space="preserve">Содержание и обслуживание служебного помещения </t>
  </si>
  <si>
    <t>Канцелярские товары</t>
  </si>
  <si>
    <t>Расходы на оплату услуг почтовой связи</t>
  </si>
  <si>
    <t>Банковские услуги</t>
  </si>
  <si>
    <t>Обязательное социальное медицинское страхование</t>
  </si>
  <si>
    <t>Социальный налог и социальные отчисления</t>
  </si>
  <si>
    <t>Оразмаганбетова А.Ж.</t>
  </si>
  <si>
    <t>Ассистент координатора</t>
  </si>
  <si>
    <t>Кошжанова А.А.</t>
  </si>
  <si>
    <t>Бухгалтер</t>
  </si>
  <si>
    <t>Амангелдиева М.А.</t>
  </si>
  <si>
    <t>Координатор проекта</t>
  </si>
  <si>
    <t>Ахметова Ж.А .</t>
  </si>
  <si>
    <t xml:space="preserve">Директор </t>
  </si>
  <si>
    <t>Заработная плата, в том числе:</t>
  </si>
  <si>
    <t>Административные расходы:</t>
  </si>
  <si>
    <t>Контрагент, дата и назначения платежа</t>
  </si>
  <si>
    <t>Остаток (2-8)</t>
  </si>
  <si>
    <t>Сумма (3+4+5+6+7)</t>
  </si>
  <si>
    <t>Заключительный Отчет</t>
  </si>
  <si>
    <t>Промежуточный Отчет № 4</t>
  </si>
  <si>
    <t>Промежуточный Отчет № 3</t>
  </si>
  <si>
    <t>Промежуточный Отчет № 2</t>
  </si>
  <si>
    <t>Промежуточный отчет № 1</t>
  </si>
  <si>
    <t>Смета расходов</t>
  </si>
  <si>
    <t>Статьи расходов</t>
  </si>
  <si>
    <t>№</t>
  </si>
  <si>
    <r>
      <t xml:space="preserve">Сумма гранта: </t>
    </r>
    <r>
      <rPr>
        <sz val="12"/>
        <color theme="1"/>
        <rFont val="Times New Roman"/>
        <family val="1"/>
        <charset val="204"/>
      </rPr>
      <t>7 494 574 тенге</t>
    </r>
  </si>
  <si>
    <r>
      <t xml:space="preserve">Тема гранта: </t>
    </r>
    <r>
      <rPr>
        <sz val="12"/>
        <color theme="1"/>
        <rFont val="Times New Roman"/>
        <family val="1"/>
        <charset val="204"/>
      </rPr>
      <t xml:space="preserve">«Гражданский центр Мангистауской области»
</t>
    </r>
    <r>
      <rPr>
        <b/>
        <sz val="12"/>
        <color theme="1"/>
        <rFont val="Times New Roman"/>
        <family val="1"/>
        <charset val="204"/>
      </rPr>
      <t xml:space="preserve">
</t>
    </r>
  </si>
  <si>
    <r>
      <t>Грантополучатель:</t>
    </r>
    <r>
      <rPr>
        <sz val="12"/>
        <color theme="1"/>
        <rFont val="Times New Roman"/>
        <family val="1"/>
        <charset val="204"/>
      </rPr>
      <t xml:space="preserve"> Объединение юридических лиц в форме ассоциации "Гражданский Альянс Мангистауской области по вопросам развития общества"</t>
    </r>
  </si>
  <si>
    <t>ПРОМЕЖУТОЧНЫЙ/ЗАКЛЮЧИТЕЛЬНЫЙ ОТЧЕТ О РАСХОДОВАНИИ ДЕНЕЖНЫХ СРЕДСТВ*</t>
  </si>
  <si>
    <t>Приложение 5 
к Договору о предоставлении государственного гранта
от «28» марта 2023 года №48</t>
  </si>
  <si>
    <t>РПВ, табель за июнь, июль 23г, АО "Банк ЦентрКредит" П/п №297 от 30.06.23, №404 от 31.08.23; НАО "Правительство для граждан" П/п№ 354, 355 от 25.07.23, №405, 406 от 31.08.23; РГУ УГД г.Актау П/п №358 от 25.07.23, №409 от 31.08.23.</t>
  </si>
  <si>
    <t>НАО "Правительство для граждан" П/п№ 357 от 25.07.23, №408 от 31.08.23; РГУ УГД г.Актау П/п №359 от 25.07.23, №410 от 31.08.23.</t>
  </si>
  <si>
    <t>НАО "Правительство для граждан" П/п№ 356 от 25.07.23, №407 от 31.08.23.</t>
  </si>
  <si>
    <t>Выписка ОА "Банк ЦентрКредит" за период 03.06.23-01.09.23</t>
  </si>
  <si>
    <t>КГУ "Управление делами акимата Мангистауской области",  Договор №19 от 01.07.2021, П/п№294 от 22.06.23, №289 от 20.06.23, АВР №25 от 18.05.23, АВР №31 от 22.06.23.</t>
  </si>
  <si>
    <t>ИП "Кусаинова Толкын", Договор №7-23 от 30.06.2023, П/п№412 от 01.09.23,  АВР №24 от 31.07.23, Сч/ф№94 от 02.09.2023.</t>
  </si>
  <si>
    <t>1 транш</t>
  </si>
  <si>
    <t>2 транш</t>
  </si>
  <si>
    <t>Отчет №1</t>
  </si>
  <si>
    <t>Отчет №2</t>
  </si>
  <si>
    <t>Отчет №3</t>
  </si>
  <si>
    <t>3 транш</t>
  </si>
  <si>
    <t xml:space="preserve">«Гражданский центр Мангистауской области» Дог.№48 от «28» марта 2023 года </t>
  </si>
  <si>
    <t>ИП "Нұрдаулет", Договор №30 от 14.07.2023, П/п№411 от 01.09.23, АВР №001 от 28.08.23, Сч/ф.№31 от 28.08.2023.</t>
  </si>
  <si>
    <t>к оплате</t>
  </si>
  <si>
    <t>зачет аванса</t>
  </si>
  <si>
    <t>КГУ "Управление делами акимата Мангистауской области"</t>
  </si>
  <si>
    <t>Пп№460 от 25.09.23, Ав/отч.№22 от 25.09.23.</t>
  </si>
  <si>
    <t>Выписка ОА "Банк ЦентрКредит" за период 02.09.23. - 30.10.23.</t>
  </si>
  <si>
    <t>РПВ, табель за август, сентябрь, октябрь 23г, АО "Банк ЦентрКредит" П/п №451 от 22.09.23, №404 от 12.10.23, №553 от 26.10.23; НАО "Правительство для граждан" П/п№ 457, 452 от 25.09.23, №509,510 от 17.10.23, Пп№ 565, 566 от 30.10.23; РГУ УГД г.Актау П/п №455 от 17.10.23, №513 от 17.10.23, №569 от 30.10.23.</t>
  </si>
  <si>
    <t>НАО "Правительство для граждан" П/п№ 454  от 25.10.23, №514 от 17.10.23, № 570 от 30.10.23; РГУ УГД г.Актау П/п №456  от 25.09.23, №512 от 17.10.23, №568 от 30.10.23.</t>
  </si>
  <si>
    <t>НАО "Правительство для граждан" П/п№ 453 от 25.09.23,  №511 от 17.10.23, №567 от 30.10.23.</t>
  </si>
  <si>
    <t>ТОО "Казах Кенсе" Пп№541 от 18.10.23, Накл.№УТ-40301, Сч/ф№42953 от 23.10.23, Счет №УТ-37638 от 18.10.23; Пп№573 от 30.10.23, Накл.№УТ-41185, Сч/ф№43103 от 31.10.23, Счет №УТ-38763 от 30.10.23.</t>
  </si>
  <si>
    <t xml:space="preserve">ИП Балапаш, Договор №12-23 от 03.04.23, Пп№467 от 27.09.23, АВР №27, Сч/ф№27 от 20.09.23; Пп№538 от 17.10.23, АВР№29, Сч/ф№29 от 16.10.23. </t>
  </si>
  <si>
    <t>ИП "Қазына" production media group",  Договор №31 от 01.08.23, Пп№571 от 30.10.23,  АВР№1 от 27.10.23, Сч/ф№25 от 27.10.23.</t>
  </si>
  <si>
    <t>ИП Кусаинова Толкын,  Пп№ 458 от 25.09.23, №502 от 10.10.23, № 539 от 17.10.23, АВР №31 от 15.09.23, №37 от 30.09.23, №41 от 17.10.23; Сч/ф.№99 от 15.09.23, №99 от 30.09.23, №102 от 27.09.23.</t>
  </si>
  <si>
    <t>ИП "Қазына" production media group", Договор №33 от 18.08.23, Пп№ 426 от 13.09.23,  АВР №1, Сч/ф.№19 от 11.09.23.</t>
  </si>
  <si>
    <t>ИП Байдуллаевна, Пп№572 от 30.10.23, Договор №44 от 11.09.23, АВР №1, Сч/ф№2 от 27.10.23.</t>
  </si>
  <si>
    <t>Приказ№7 от 31.03.23, ИТД №2,4, 7, 8, РПВ, табель за апрель, май 23г, АО "Банк ЦентрКредит" П/п №184 от 15.05.23, №250 от 31.05.23; НАО "Правительство для граждан" П/п№ 193, 194 от 16.05.23, №251, 252 от 31.05.23; РГУ УГД г.Актау П/п №197 от 16.05.23, №255 от 31.05.23.</t>
  </si>
  <si>
    <t>НАО "Правительство для граждан" П/п№ 196 от 16.05.23, №253 от 31.05.23; РГУ УГД г.Актау П/п №198 от 16.05.23, №256 от 31.05.23.</t>
  </si>
  <si>
    <t>НАО "Правительство для граждан" П/п№ 195 от 16.05.23, №254 от 31.05.23.</t>
  </si>
  <si>
    <t>Выписка ОА "Банк ЦентрКредит" за период 28.03.23-02.06.23</t>
  </si>
  <si>
    <t>ТОО "ExLine", П/п№272, Авр, №7246 от 31.05.23, маршр.лист, С/ф№7246 от 31.05.23.</t>
  </si>
  <si>
    <t>ТОО "Казах Кенсе" П/п№271 от 02.06.23, Накл.№УТ-17158 от 02.06.23, Сч/ф№17467 от 02.06.23, Счет№ УТ-16272 от 01.06.23.</t>
  </si>
  <si>
    <t>ф-л ТОО "Мечта Маркет" Договор №4 от 15.05.23, П/п№215 от 24.05.23, Сч/ф№41020300003673 от 26.05.23, накл.№4102000004016 от 24.05.23, Счет №41020000007885 от 23.05.23.</t>
  </si>
  <si>
    <t>Сумма гранта: 7 494 574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</si>
</sst>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6" fillId="0" borderId="0" xfId="1"/>
    <xf numFmtId="0" fontId="7" fillId="0" borderId="0" xfId="1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4" fontId="6" fillId="0" borderId="0" xfId="1" applyNumberFormat="1"/>
    <xf numFmtId="4" fontId="9" fillId="0" borderId="0" xfId="1" applyNumberFormat="1" applyFont="1"/>
    <xf numFmtId="0" fontId="10" fillId="0" borderId="1" xfId="1" applyFont="1" applyBorder="1" applyAlignment="1">
      <alignment vertical="center" wrapText="1"/>
    </xf>
    <xf numFmtId="4" fontId="11" fillId="0" borderId="1" xfId="1" applyNumberFormat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4" fontId="10" fillId="0" borderId="1" xfId="1" applyNumberFormat="1" applyFont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justify" vertical="center"/>
    </xf>
    <xf numFmtId="0" fontId="7" fillId="0" borderId="0" xfId="1" applyFont="1" applyAlignment="1">
      <alignment horizontal="center" vertical="center"/>
    </xf>
    <xf numFmtId="0" fontId="18" fillId="0" borderId="1" xfId="1" applyFont="1" applyBorder="1" applyAlignment="1">
      <alignment vertical="center" wrapText="1"/>
    </xf>
    <xf numFmtId="4" fontId="5" fillId="0" borderId="0" xfId="1" applyNumberFormat="1" applyFont="1"/>
    <xf numFmtId="0" fontId="5" fillId="0" borderId="0" xfId="1" applyFont="1"/>
    <xf numFmtId="4" fontId="18" fillId="0" borderId="1" xfId="1" applyNumberFormat="1" applyFont="1" applyBorder="1" applyAlignment="1">
      <alignment vertical="center" wrapText="1"/>
    </xf>
    <xf numFmtId="0" fontId="4" fillId="0" borderId="0" xfId="1" applyFont="1"/>
    <xf numFmtId="4" fontId="8" fillId="0" borderId="0" xfId="1" applyNumberFormat="1" applyFont="1" applyAlignment="1">
      <alignment vertical="center"/>
    </xf>
    <xf numFmtId="4" fontId="4" fillId="0" borderId="0" xfId="1" applyNumberFormat="1" applyFont="1"/>
    <xf numFmtId="0" fontId="19" fillId="4" borderId="0" xfId="1" applyFont="1" applyFill="1"/>
    <xf numFmtId="4" fontId="19" fillId="4" borderId="0" xfId="1" applyNumberFormat="1" applyFont="1" applyFill="1"/>
    <xf numFmtId="4" fontId="6" fillId="4" borderId="0" xfId="1" applyNumberFormat="1" applyFill="1"/>
    <xf numFmtId="0" fontId="20" fillId="0" borderId="1" xfId="1" applyFont="1" applyBorder="1" applyAlignment="1">
      <alignment vertical="center" wrapText="1"/>
    </xf>
    <xf numFmtId="0" fontId="4" fillId="4" borderId="0" xfId="1" applyFont="1" applyFill="1"/>
    <xf numFmtId="0" fontId="6" fillId="4" borderId="0" xfId="1" applyFill="1"/>
    <xf numFmtId="0" fontId="3" fillId="0" borderId="0" xfId="1" applyFont="1" applyAlignment="1">
      <alignment horizontal="right"/>
    </xf>
    <xf numFmtId="0" fontId="2" fillId="0" borderId="0" xfId="1" applyFont="1"/>
    <xf numFmtId="4" fontId="11" fillId="2" borderId="1" xfId="1" applyNumberFormat="1" applyFont="1" applyFill="1" applyBorder="1" applyAlignment="1">
      <alignment vertical="center" wrapText="1"/>
    </xf>
    <xf numFmtId="4" fontId="10" fillId="2" borderId="1" xfId="1" applyNumberFormat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20" fillId="2" borderId="1" xfId="1" applyFont="1" applyFill="1" applyBorder="1" applyAlignment="1">
      <alignment vertical="center" wrapText="1"/>
    </xf>
    <xf numFmtId="4" fontId="21" fillId="2" borderId="1" xfId="1" applyNumberFormat="1" applyFont="1" applyFill="1" applyBorder="1" applyAlignment="1">
      <alignment vertical="center" wrapText="1"/>
    </xf>
    <xf numFmtId="4" fontId="18" fillId="2" borderId="1" xfId="1" applyNumberFormat="1" applyFont="1" applyFill="1" applyBorder="1" applyAlignment="1">
      <alignment vertical="center" wrapText="1"/>
    </xf>
    <xf numFmtId="0" fontId="18" fillId="2" borderId="1" xfId="1" applyFont="1" applyFill="1" applyBorder="1" applyAlignment="1">
      <alignment vertical="center" wrapText="1"/>
    </xf>
    <xf numFmtId="4" fontId="20" fillId="2" borderId="1" xfId="1" applyNumberFormat="1" applyFont="1" applyFill="1" applyBorder="1" applyAlignment="1">
      <alignment vertical="center" wrapText="1"/>
    </xf>
    <xf numFmtId="0" fontId="6" fillId="2" borderId="0" xfId="1" applyFill="1"/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2" xfId="1" applyFont="1" applyFill="1" applyBorder="1" applyAlignment="1">
      <alignment horizontal="left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12" fillId="0" borderId="0" xfId="2" applyFont="1" applyAlignment="1">
      <alignment horizontal="right" vertical="center" wrapText="1"/>
    </xf>
    <xf numFmtId="0" fontId="1" fillId="0" borderId="0" xfId="2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4" fontId="11" fillId="0" borderId="1" xfId="2" applyNumberFormat="1" applyFont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12" fillId="2" borderId="1" xfId="2" applyFont="1" applyFill="1" applyBorder="1" applyAlignment="1">
      <alignment vertical="center" wrapText="1"/>
    </xf>
    <xf numFmtId="0" fontId="20" fillId="0" borderId="1" xfId="2" applyFont="1" applyBorder="1" applyAlignment="1">
      <alignment vertical="center" wrapText="1"/>
    </xf>
    <xf numFmtId="0" fontId="13" fillId="2" borderId="1" xfId="2" applyFont="1" applyFill="1" applyBorder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4" fontId="21" fillId="0" borderId="1" xfId="2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7" fillId="0" borderId="0" xfId="2" applyFont="1" applyAlignment="1">
      <alignment vertical="center"/>
    </xf>
    <xf numFmtId="4" fontId="9" fillId="0" borderId="0" xfId="2" applyNumberFormat="1" applyFont="1"/>
    <xf numFmtId="4" fontId="1" fillId="0" borderId="0" xfId="2" applyNumberFormat="1"/>
    <xf numFmtId="0" fontId="8" fillId="0" borderId="0" xfId="2" applyFont="1" applyAlignment="1">
      <alignment vertical="center"/>
    </xf>
    <xf numFmtId="0" fontId="7" fillId="0" borderId="0" xfId="2" applyFont="1"/>
  </cellXfs>
  <cellStyles count="3">
    <cellStyle name="Обычный" xfId="0" builtinId="0"/>
    <cellStyle name="Обычный 2" xfId="1" xr:uid="{00000000-0005-0000-0000-000001000000}"/>
    <cellStyle name="Обычный 2 2" xfId="2" xr:uid="{81633B50-E5B0-4257-A145-8375AC72419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AAE0-E9F0-4BC2-A456-66C533953EE5}">
  <dimension ref="A2:K49"/>
  <sheetViews>
    <sheetView view="pageBreakPreview" topLeftCell="A34" zoomScaleNormal="100" zoomScaleSheetLayoutView="100" workbookViewId="0">
      <selection activeCell="G40" sqref="G40"/>
    </sheetView>
  </sheetViews>
  <sheetFormatPr defaultRowHeight="14.4" x14ac:dyDescent="0.3"/>
  <cols>
    <col min="1" max="1" width="5.109375" style="58" customWidth="1"/>
    <col min="2" max="2" width="27.44140625" style="58" customWidth="1"/>
    <col min="3" max="3" width="13.33203125" style="58" customWidth="1"/>
    <col min="4" max="4" width="8.21875" style="58" customWidth="1"/>
    <col min="5" max="5" width="13.6640625" style="58" customWidth="1"/>
    <col min="6" max="7" width="10" style="58" customWidth="1"/>
    <col min="8" max="8" width="8.33203125" style="58" customWidth="1"/>
    <col min="9" max="9" width="14" style="58" customWidth="1"/>
    <col min="10" max="10" width="11.44140625" style="58" customWidth="1"/>
    <col min="11" max="11" width="46.21875" style="58" customWidth="1"/>
    <col min="12" max="16384" width="8.88671875" style="58"/>
  </cols>
  <sheetData>
    <row r="2" spans="1:11" ht="57" customHeight="1" x14ac:dyDescent="0.3">
      <c r="A2" s="57" t="s">
        <v>51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6" x14ac:dyDescent="0.3">
      <c r="B3" s="59"/>
    </row>
    <row r="4" spans="1:11" ht="36.75" customHeight="1" x14ac:dyDescent="0.3">
      <c r="A4" s="60" t="s">
        <v>50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3" customHeight="1" x14ac:dyDescent="0.3">
      <c r="B5" s="61"/>
    </row>
    <row r="6" spans="1:11" ht="15.6" x14ac:dyDescent="0.3">
      <c r="A6" s="62" t="s">
        <v>49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ht="15.6" x14ac:dyDescent="0.3">
      <c r="A7" s="63" t="s">
        <v>48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15.6" x14ac:dyDescent="0.3">
      <c r="A8" s="62" t="s">
        <v>87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63.6" customHeight="1" x14ac:dyDescent="0.3">
      <c r="A9" s="64" t="s">
        <v>46</v>
      </c>
      <c r="B9" s="65" t="s">
        <v>45</v>
      </c>
      <c r="C9" s="65" t="s">
        <v>44</v>
      </c>
      <c r="D9" s="65" t="s">
        <v>43</v>
      </c>
      <c r="E9" s="65" t="s">
        <v>42</v>
      </c>
      <c r="F9" s="65" t="s">
        <v>41</v>
      </c>
      <c r="G9" s="65" t="s">
        <v>40</v>
      </c>
      <c r="H9" s="65" t="s">
        <v>39</v>
      </c>
      <c r="I9" s="65" t="s">
        <v>38</v>
      </c>
      <c r="J9" s="65" t="s">
        <v>37</v>
      </c>
      <c r="K9" s="65" t="s">
        <v>36</v>
      </c>
    </row>
    <row r="10" spans="1:11" x14ac:dyDescent="0.3">
      <c r="A10" s="66"/>
      <c r="B10" s="67">
        <v>1</v>
      </c>
      <c r="C10" s="67">
        <v>2</v>
      </c>
      <c r="D10" s="67">
        <v>3</v>
      </c>
      <c r="E10" s="67">
        <v>4</v>
      </c>
      <c r="F10" s="67">
        <v>5</v>
      </c>
      <c r="G10" s="67">
        <v>6</v>
      </c>
      <c r="H10" s="67">
        <v>7</v>
      </c>
      <c r="I10" s="67">
        <v>8</v>
      </c>
      <c r="J10" s="67">
        <v>9</v>
      </c>
      <c r="K10" s="67">
        <v>7</v>
      </c>
    </row>
    <row r="11" spans="1:11" ht="31.2" x14ac:dyDescent="0.3">
      <c r="A11" s="68">
        <v>1</v>
      </c>
      <c r="B11" s="69" t="s">
        <v>35</v>
      </c>
      <c r="C11" s="70">
        <f>C12+SUM(C17:C22)</f>
        <v>4530574</v>
      </c>
      <c r="D11" s="70"/>
      <c r="E11" s="70">
        <f>E12+SUM(E17:E22)</f>
        <v>1222918</v>
      </c>
      <c r="F11" s="71"/>
      <c r="G11" s="71"/>
      <c r="H11" s="71"/>
      <c r="I11" s="70">
        <f>I12+SUM(I17:I22)</f>
        <v>1222918</v>
      </c>
      <c r="J11" s="70">
        <f>C11-D11</f>
        <v>4530574</v>
      </c>
      <c r="K11" s="72"/>
    </row>
    <row r="12" spans="1:11" ht="79.2" x14ac:dyDescent="0.3">
      <c r="A12" s="73"/>
      <c r="B12" s="73" t="s">
        <v>34</v>
      </c>
      <c r="C12" s="70">
        <f>SUM(C13:C16)</f>
        <v>3780000</v>
      </c>
      <c r="D12" s="70"/>
      <c r="E12" s="70">
        <f>SUM(E13:E16)</f>
        <v>1080000</v>
      </c>
      <c r="F12" s="71"/>
      <c r="G12" s="71"/>
      <c r="H12" s="71"/>
      <c r="I12" s="70">
        <f>SUM(I13:I16)</f>
        <v>1080000</v>
      </c>
      <c r="J12" s="70">
        <f>C12-D12</f>
        <v>3780000</v>
      </c>
      <c r="K12" s="74" t="s">
        <v>80</v>
      </c>
    </row>
    <row r="13" spans="1:11" ht="15.6" x14ac:dyDescent="0.3">
      <c r="A13" s="73"/>
      <c r="B13" s="73" t="s">
        <v>33</v>
      </c>
      <c r="C13" s="71">
        <v>1015000</v>
      </c>
      <c r="D13" s="71"/>
      <c r="E13" s="71">
        <f>145000*2</f>
        <v>290000</v>
      </c>
      <c r="F13" s="71"/>
      <c r="G13" s="71"/>
      <c r="H13" s="71"/>
      <c r="I13" s="71">
        <f>D13+E13+F13+G13+H13</f>
        <v>290000</v>
      </c>
      <c r="J13" s="71">
        <f t="shared" ref="J13:J25" si="0">C13-I13</f>
        <v>725000</v>
      </c>
      <c r="K13" s="72" t="s">
        <v>32</v>
      </c>
    </row>
    <row r="14" spans="1:11" ht="15.6" x14ac:dyDescent="0.3">
      <c r="A14" s="73"/>
      <c r="B14" s="75" t="s">
        <v>31</v>
      </c>
      <c r="C14" s="71">
        <v>1120000</v>
      </c>
      <c r="D14" s="71"/>
      <c r="E14" s="71">
        <f>160000*2</f>
        <v>320000</v>
      </c>
      <c r="F14" s="71"/>
      <c r="G14" s="71"/>
      <c r="H14" s="71"/>
      <c r="I14" s="71">
        <f>D14+E14+F14+G14+H14</f>
        <v>320000</v>
      </c>
      <c r="J14" s="71">
        <f t="shared" si="0"/>
        <v>800000</v>
      </c>
      <c r="K14" s="72" t="s">
        <v>30</v>
      </c>
    </row>
    <row r="15" spans="1:11" ht="15.6" x14ac:dyDescent="0.3">
      <c r="A15" s="73"/>
      <c r="B15" s="75" t="s">
        <v>29</v>
      </c>
      <c r="C15" s="71">
        <v>1015000</v>
      </c>
      <c r="D15" s="71"/>
      <c r="E15" s="71">
        <f>145000*2</f>
        <v>290000</v>
      </c>
      <c r="F15" s="71"/>
      <c r="G15" s="71"/>
      <c r="H15" s="71"/>
      <c r="I15" s="71">
        <f>D15+E15+F15+G15+H15</f>
        <v>290000</v>
      </c>
      <c r="J15" s="71">
        <f t="shared" si="0"/>
        <v>725000</v>
      </c>
      <c r="K15" s="72" t="s">
        <v>28</v>
      </c>
    </row>
    <row r="16" spans="1:11" ht="19.8" customHeight="1" x14ac:dyDescent="0.3">
      <c r="A16" s="73"/>
      <c r="B16" s="75" t="s">
        <v>27</v>
      </c>
      <c r="C16" s="71">
        <v>630000</v>
      </c>
      <c r="D16" s="71"/>
      <c r="E16" s="71">
        <f>90000*2</f>
        <v>180000</v>
      </c>
      <c r="F16" s="71"/>
      <c r="G16" s="71"/>
      <c r="H16" s="71"/>
      <c r="I16" s="71">
        <f>D16+E16+F16+G16+H16</f>
        <v>180000</v>
      </c>
      <c r="J16" s="71">
        <f t="shared" si="0"/>
        <v>450000</v>
      </c>
      <c r="K16" s="72" t="s">
        <v>26</v>
      </c>
    </row>
    <row r="17" spans="1:11" ht="43.2" customHeight="1" x14ac:dyDescent="0.3">
      <c r="A17" s="76"/>
      <c r="B17" s="77" t="s">
        <v>25</v>
      </c>
      <c r="C17" s="71">
        <v>271382</v>
      </c>
      <c r="D17" s="71"/>
      <c r="E17" s="71">
        <f>(28133+17011)*2</f>
        <v>90288</v>
      </c>
      <c r="F17" s="71"/>
      <c r="G17" s="71"/>
      <c r="H17" s="71"/>
      <c r="I17" s="71">
        <f>D17+E17+F17+G17+H17</f>
        <v>90288</v>
      </c>
      <c r="J17" s="71">
        <f t="shared" si="0"/>
        <v>181094</v>
      </c>
      <c r="K17" s="72" t="s">
        <v>81</v>
      </c>
    </row>
    <row r="18" spans="1:11" ht="29.4" customHeight="1" x14ac:dyDescent="0.3">
      <c r="A18" s="73"/>
      <c r="B18" s="73" t="s">
        <v>24</v>
      </c>
      <c r="C18" s="71">
        <v>96200</v>
      </c>
      <c r="D18" s="71"/>
      <c r="E18" s="71">
        <f>16200*2</f>
        <v>32400</v>
      </c>
      <c r="F18" s="71"/>
      <c r="G18" s="71"/>
      <c r="H18" s="71"/>
      <c r="I18" s="71">
        <f>D18+E18+F18+G18</f>
        <v>32400</v>
      </c>
      <c r="J18" s="71">
        <f t="shared" si="0"/>
        <v>63800</v>
      </c>
      <c r="K18" s="72" t="s">
        <v>82</v>
      </c>
    </row>
    <row r="19" spans="1:11" ht="26.4" x14ac:dyDescent="0.3">
      <c r="A19" s="73"/>
      <c r="B19" s="73" t="s">
        <v>23</v>
      </c>
      <c r="C19" s="71">
        <v>42903</v>
      </c>
      <c r="D19" s="71"/>
      <c r="E19" s="71">
        <f>300*7</f>
        <v>2100</v>
      </c>
      <c r="F19" s="71"/>
      <c r="G19" s="71"/>
      <c r="H19" s="71"/>
      <c r="I19" s="71">
        <f t="shared" ref="I19:I22" si="1">D19+E19+F19+G19</f>
        <v>2100</v>
      </c>
      <c r="J19" s="71">
        <f t="shared" si="0"/>
        <v>40803</v>
      </c>
      <c r="K19" s="72" t="s">
        <v>83</v>
      </c>
    </row>
    <row r="20" spans="1:11" ht="31.2" x14ac:dyDescent="0.3">
      <c r="A20" s="73"/>
      <c r="B20" s="73" t="s">
        <v>22</v>
      </c>
      <c r="C20" s="71">
        <v>42000</v>
      </c>
      <c r="D20" s="71"/>
      <c r="E20" s="71">
        <v>2130</v>
      </c>
      <c r="F20" s="71"/>
      <c r="G20" s="71"/>
      <c r="H20" s="71"/>
      <c r="I20" s="71">
        <f t="shared" si="1"/>
        <v>2130</v>
      </c>
      <c r="J20" s="71">
        <f t="shared" si="0"/>
        <v>39870</v>
      </c>
      <c r="K20" s="74" t="s">
        <v>84</v>
      </c>
    </row>
    <row r="21" spans="1:11" ht="39.6" x14ac:dyDescent="0.3">
      <c r="A21" s="73"/>
      <c r="B21" s="73" t="s">
        <v>21</v>
      </c>
      <c r="C21" s="71">
        <v>48000</v>
      </c>
      <c r="D21" s="71"/>
      <c r="E21" s="71">
        <v>16000</v>
      </c>
      <c r="F21" s="71"/>
      <c r="G21" s="71"/>
      <c r="H21" s="71"/>
      <c r="I21" s="71">
        <f t="shared" si="1"/>
        <v>16000</v>
      </c>
      <c r="J21" s="71">
        <f t="shared" si="0"/>
        <v>32000</v>
      </c>
      <c r="K21" s="72" t="s">
        <v>85</v>
      </c>
    </row>
    <row r="22" spans="1:11" ht="43.2" customHeight="1" x14ac:dyDescent="0.3">
      <c r="A22" s="73"/>
      <c r="B22" s="73" t="s">
        <v>20</v>
      </c>
      <c r="C22" s="71">
        <v>250089</v>
      </c>
      <c r="D22" s="71"/>
      <c r="E22" s="71"/>
      <c r="F22" s="71"/>
      <c r="G22" s="71"/>
      <c r="H22" s="71"/>
      <c r="I22" s="71">
        <f t="shared" si="1"/>
        <v>0</v>
      </c>
      <c r="J22" s="71">
        <f t="shared" si="0"/>
        <v>250089</v>
      </c>
      <c r="K22" s="72"/>
    </row>
    <row r="23" spans="1:11" ht="46.8" x14ac:dyDescent="0.3">
      <c r="A23" s="68">
        <v>2</v>
      </c>
      <c r="B23" s="69" t="s">
        <v>19</v>
      </c>
      <c r="C23" s="70">
        <f>C24+C25</f>
        <v>727000</v>
      </c>
      <c r="D23" s="70"/>
      <c r="E23" s="70">
        <f>E24+E25</f>
        <v>726978</v>
      </c>
      <c r="F23" s="70"/>
      <c r="G23" s="70"/>
      <c r="H23" s="70"/>
      <c r="I23" s="70">
        <f>I24+I25</f>
        <v>726978</v>
      </c>
      <c r="J23" s="70">
        <f t="shared" si="0"/>
        <v>22</v>
      </c>
      <c r="K23" s="78"/>
    </row>
    <row r="24" spans="1:11" ht="26.4" customHeight="1" x14ac:dyDescent="0.3">
      <c r="A24" s="68"/>
      <c r="B24" s="73" t="s">
        <v>18</v>
      </c>
      <c r="C24" s="71">
        <f>271500*2</f>
        <v>543000</v>
      </c>
      <c r="D24" s="71"/>
      <c r="E24" s="71">
        <f>271499*2</f>
        <v>542998</v>
      </c>
      <c r="F24" s="71"/>
      <c r="G24" s="71"/>
      <c r="H24" s="71"/>
      <c r="I24" s="71">
        <f>D24+E24+F24+G24</f>
        <v>542998</v>
      </c>
      <c r="J24" s="71">
        <f t="shared" si="0"/>
        <v>2</v>
      </c>
      <c r="K24" s="79" t="s">
        <v>86</v>
      </c>
    </row>
    <row r="25" spans="1:11" ht="26.4" customHeight="1" x14ac:dyDescent="0.3">
      <c r="A25" s="68"/>
      <c r="B25" s="73" t="s">
        <v>17</v>
      </c>
      <c r="C25" s="71">
        <f>2*92000</f>
        <v>184000</v>
      </c>
      <c r="D25" s="71"/>
      <c r="E25" s="71">
        <f>91990*2</f>
        <v>183980</v>
      </c>
      <c r="F25" s="71"/>
      <c r="G25" s="71"/>
      <c r="H25" s="71"/>
      <c r="I25" s="71">
        <f>D25+E25+F25+G25</f>
        <v>183980</v>
      </c>
      <c r="J25" s="71">
        <f t="shared" si="0"/>
        <v>20</v>
      </c>
      <c r="K25" s="80"/>
    </row>
    <row r="26" spans="1:11" ht="15.6" x14ac:dyDescent="0.3">
      <c r="A26" s="68">
        <v>3</v>
      </c>
      <c r="B26" s="69" t="s">
        <v>16</v>
      </c>
      <c r="C26" s="70">
        <f>C27+C30+C34</f>
        <v>2237000</v>
      </c>
      <c r="D26" s="70"/>
      <c r="E26" s="70">
        <f>E27+E30+E34</f>
        <v>0</v>
      </c>
      <c r="F26" s="71"/>
      <c r="G26" s="71"/>
      <c r="H26" s="71"/>
      <c r="I26" s="70">
        <f>I27+I30+I34</f>
        <v>0</v>
      </c>
      <c r="J26" s="70">
        <f>C26-D26</f>
        <v>2237000</v>
      </c>
      <c r="K26" s="72"/>
    </row>
    <row r="27" spans="1:11" ht="46.8" x14ac:dyDescent="0.3">
      <c r="A27" s="73"/>
      <c r="B27" s="69" t="s">
        <v>15</v>
      </c>
      <c r="C27" s="70">
        <f>SUM(C28:C29)</f>
        <v>731250</v>
      </c>
      <c r="D27" s="70"/>
      <c r="E27" s="70">
        <f>SUM(E28:E29)</f>
        <v>0</v>
      </c>
      <c r="F27" s="71"/>
      <c r="G27" s="71"/>
      <c r="H27" s="71"/>
      <c r="I27" s="70">
        <f>SUM(I28:I29)</f>
        <v>0</v>
      </c>
      <c r="J27" s="70">
        <f>SUM(J28:J29)</f>
        <v>0</v>
      </c>
      <c r="K27" s="72"/>
    </row>
    <row r="28" spans="1:11" ht="18.600000000000001" customHeight="1" x14ac:dyDescent="0.3">
      <c r="A28" s="73"/>
      <c r="B28" s="75" t="s">
        <v>11</v>
      </c>
      <c r="C28" s="71">
        <f>7*18750</f>
        <v>131250</v>
      </c>
      <c r="D28" s="71"/>
      <c r="E28" s="71"/>
      <c r="F28" s="71"/>
      <c r="G28" s="71"/>
      <c r="H28" s="71"/>
      <c r="I28" s="71"/>
      <c r="J28" s="71"/>
      <c r="K28" s="72"/>
    </row>
    <row r="29" spans="1:11" ht="18.600000000000001" customHeight="1" x14ac:dyDescent="0.3">
      <c r="A29" s="73"/>
      <c r="B29" s="73" t="s">
        <v>14</v>
      </c>
      <c r="C29" s="71">
        <v>600000</v>
      </c>
      <c r="D29" s="71"/>
      <c r="E29" s="71"/>
      <c r="F29" s="71"/>
      <c r="G29" s="71"/>
      <c r="H29" s="71"/>
      <c r="I29" s="71"/>
      <c r="J29" s="71"/>
      <c r="K29" s="72"/>
    </row>
    <row r="30" spans="1:11" ht="61.2" customHeight="1" x14ac:dyDescent="0.3">
      <c r="A30" s="73"/>
      <c r="B30" s="69" t="s">
        <v>13</v>
      </c>
      <c r="C30" s="70">
        <f>SUM(C31:C32)</f>
        <v>945750</v>
      </c>
      <c r="D30" s="70"/>
      <c r="E30" s="70">
        <f>SUM(E31:E32)</f>
        <v>0</v>
      </c>
      <c r="F30" s="71"/>
      <c r="G30" s="71"/>
      <c r="H30" s="71"/>
      <c r="I30" s="70">
        <f>SUM(I31:I32)</f>
        <v>0</v>
      </c>
      <c r="J30" s="70">
        <f>SUM(J31:J32)</f>
        <v>0</v>
      </c>
      <c r="K30" s="72"/>
    </row>
    <row r="31" spans="1:11" ht="31.2" x14ac:dyDescent="0.3">
      <c r="A31" s="73"/>
      <c r="B31" s="73" t="s">
        <v>12</v>
      </c>
      <c r="C31" s="71">
        <f>4*203625</f>
        <v>814500</v>
      </c>
      <c r="D31" s="71"/>
      <c r="E31" s="71"/>
      <c r="F31" s="71"/>
      <c r="G31" s="71"/>
      <c r="H31" s="71"/>
      <c r="I31" s="71"/>
      <c r="J31" s="71"/>
      <c r="K31" s="72"/>
    </row>
    <row r="32" spans="1:11" ht="17.399999999999999" customHeight="1" x14ac:dyDescent="0.3">
      <c r="A32" s="73"/>
      <c r="B32" s="75" t="s">
        <v>11</v>
      </c>
      <c r="C32" s="71">
        <f>7*18750</f>
        <v>131250</v>
      </c>
      <c r="D32" s="71"/>
      <c r="E32" s="71"/>
      <c r="F32" s="71"/>
      <c r="G32" s="71"/>
      <c r="H32" s="71"/>
      <c r="I32" s="71"/>
      <c r="J32" s="71"/>
      <c r="K32" s="72"/>
    </row>
    <row r="33" spans="1:11" ht="46.8" x14ac:dyDescent="0.3">
      <c r="A33" s="73"/>
      <c r="B33" s="69" t="s">
        <v>10</v>
      </c>
      <c r="C33" s="71">
        <v>0</v>
      </c>
      <c r="D33" s="71"/>
      <c r="E33" s="71"/>
      <c r="F33" s="71"/>
      <c r="G33" s="71"/>
      <c r="H33" s="71"/>
      <c r="I33" s="71"/>
      <c r="J33" s="71"/>
      <c r="K33" s="72"/>
    </row>
    <row r="34" spans="1:11" ht="48" customHeight="1" x14ac:dyDescent="0.3">
      <c r="A34" s="73"/>
      <c r="B34" s="69" t="s">
        <v>9</v>
      </c>
      <c r="C34" s="70">
        <f>SUM(C35:C37)</f>
        <v>560000</v>
      </c>
      <c r="D34" s="71"/>
      <c r="E34" s="71"/>
      <c r="F34" s="71"/>
      <c r="G34" s="71"/>
      <c r="H34" s="71"/>
      <c r="I34" s="71"/>
      <c r="J34" s="71"/>
      <c r="K34" s="72"/>
    </row>
    <row r="35" spans="1:11" ht="31.2" x14ac:dyDescent="0.3">
      <c r="A35" s="73"/>
      <c r="B35" s="73" t="s">
        <v>8</v>
      </c>
      <c r="C35" s="71">
        <v>160000</v>
      </c>
      <c r="D35" s="71"/>
      <c r="E35" s="71"/>
      <c r="F35" s="71"/>
      <c r="G35" s="71"/>
      <c r="H35" s="71"/>
      <c r="I35" s="71"/>
      <c r="J35" s="71"/>
      <c r="K35" s="72"/>
    </row>
    <row r="36" spans="1:11" ht="16.8" customHeight="1" x14ac:dyDescent="0.3">
      <c r="A36" s="73"/>
      <c r="B36" s="73" t="s">
        <v>7</v>
      </c>
      <c r="C36" s="71">
        <v>150000</v>
      </c>
      <c r="D36" s="71"/>
      <c r="E36" s="71"/>
      <c r="F36" s="71"/>
      <c r="G36" s="71"/>
      <c r="H36" s="71"/>
      <c r="I36" s="71"/>
      <c r="J36" s="71"/>
      <c r="K36" s="72"/>
    </row>
    <row r="37" spans="1:11" ht="15.6" x14ac:dyDescent="0.3">
      <c r="A37" s="73"/>
      <c r="B37" s="73" t="s">
        <v>6</v>
      </c>
      <c r="C37" s="71">
        <v>250000</v>
      </c>
      <c r="D37" s="71"/>
      <c r="E37" s="71"/>
      <c r="F37" s="71"/>
      <c r="G37" s="71"/>
      <c r="H37" s="71"/>
      <c r="I37" s="71"/>
      <c r="J37" s="71"/>
      <c r="K37" s="72"/>
    </row>
    <row r="38" spans="1:11" ht="15.6" x14ac:dyDescent="0.3">
      <c r="A38" s="73"/>
      <c r="B38" s="69" t="s">
        <v>5</v>
      </c>
      <c r="C38" s="70">
        <f>C11+C23+C26</f>
        <v>7494574</v>
      </c>
      <c r="D38" s="70">
        <v>0</v>
      </c>
      <c r="E38" s="70">
        <f>E11+E23+E26</f>
        <v>1949896</v>
      </c>
      <c r="F38" s="81"/>
      <c r="G38" s="81"/>
      <c r="H38" s="81"/>
      <c r="I38" s="70">
        <f>I11+I23+I26</f>
        <v>1949896</v>
      </c>
      <c r="J38" s="70">
        <f>J11+J23+J26</f>
        <v>6767596</v>
      </c>
      <c r="K38" s="72"/>
    </row>
    <row r="39" spans="1:11" ht="12.6" customHeight="1" x14ac:dyDescent="0.3">
      <c r="B39" s="82"/>
      <c r="E39" s="83"/>
      <c r="F39" s="84"/>
    </row>
    <row r="40" spans="1:11" ht="15.6" x14ac:dyDescent="0.3">
      <c r="A40" s="85" t="s">
        <v>4</v>
      </c>
      <c r="D40" s="85" t="s">
        <v>2</v>
      </c>
      <c r="G40" s="83"/>
    </row>
    <row r="42" spans="1:11" ht="9" customHeight="1" x14ac:dyDescent="0.3">
      <c r="B42" s="82"/>
    </row>
    <row r="43" spans="1:11" ht="15.6" x14ac:dyDescent="0.3">
      <c r="A43" s="85" t="s">
        <v>3</v>
      </c>
      <c r="D43" s="85" t="s">
        <v>2</v>
      </c>
    </row>
    <row r="45" spans="1:11" ht="15.6" x14ac:dyDescent="0.3">
      <c r="A45" s="85" t="s">
        <v>1</v>
      </c>
    </row>
    <row r="46" spans="1:11" ht="15.6" x14ac:dyDescent="0.3">
      <c r="A46" s="85" t="s">
        <v>0</v>
      </c>
      <c r="B46" s="82"/>
    </row>
    <row r="48" spans="1:11" ht="15.6" x14ac:dyDescent="0.3">
      <c r="B48" s="85"/>
    </row>
    <row r="49" spans="1:1" ht="15.6" x14ac:dyDescent="0.3">
      <c r="A49" s="86"/>
    </row>
  </sheetData>
  <mergeCells count="6">
    <mergeCell ref="A2:K2"/>
    <mergeCell ref="A4:K4"/>
    <mergeCell ref="A6:K6"/>
    <mergeCell ref="A7:K7"/>
    <mergeCell ref="A8:K8"/>
    <mergeCell ref="K24:K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view="pageBreakPreview" topLeftCell="A31" zoomScaleNormal="100" zoomScaleSheetLayoutView="100" workbookViewId="0">
      <selection activeCell="A8" sqref="A8:K8"/>
    </sheetView>
  </sheetViews>
  <sheetFormatPr defaultRowHeight="14.4" x14ac:dyDescent="0.3"/>
  <cols>
    <col min="1" max="1" width="5.109375" style="1" customWidth="1"/>
    <col min="2" max="2" width="33.5546875" style="1" customWidth="1"/>
    <col min="3" max="3" width="13.33203125" style="1" customWidth="1"/>
    <col min="4" max="4" width="8.44140625" style="1" customWidth="1"/>
    <col min="5" max="5" width="11.77734375" style="1" customWidth="1"/>
    <col min="6" max="6" width="11.6640625" style="1" customWidth="1"/>
    <col min="7" max="7" width="11.21875" style="1" customWidth="1"/>
    <col min="8" max="8" width="8.33203125" style="1" customWidth="1"/>
    <col min="9" max="9" width="14" style="1" customWidth="1"/>
    <col min="10" max="10" width="13.21875" style="1" customWidth="1"/>
    <col min="11" max="11" width="46.21875" style="1" customWidth="1"/>
    <col min="12" max="16384" width="8.88671875" style="1"/>
  </cols>
  <sheetData>
    <row r="1" spans="1:11" ht="6" customHeight="1" x14ac:dyDescent="0.3"/>
    <row r="2" spans="1:11" ht="51.6" customHeight="1" x14ac:dyDescent="0.3">
      <c r="A2" s="49" t="s">
        <v>51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6.6" customHeight="1" x14ac:dyDescent="0.3">
      <c r="B3" s="22"/>
    </row>
    <row r="4" spans="1:11" ht="36.75" customHeight="1" x14ac:dyDescent="0.3">
      <c r="A4" s="50" t="s">
        <v>50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3" customHeight="1" x14ac:dyDescent="0.3">
      <c r="B5" s="21"/>
    </row>
    <row r="6" spans="1:11" ht="15.6" x14ac:dyDescent="0.3">
      <c r="A6" s="51" t="s">
        <v>49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.6" x14ac:dyDescent="0.3">
      <c r="A7" s="52" t="s">
        <v>48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15.6" x14ac:dyDescent="0.3">
      <c r="A8" s="51" t="s">
        <v>47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63.6" customHeight="1" x14ac:dyDescent="0.3">
      <c r="A9" s="20" t="s">
        <v>46</v>
      </c>
      <c r="B9" s="19" t="s">
        <v>45</v>
      </c>
      <c r="C9" s="19" t="s">
        <v>44</v>
      </c>
      <c r="D9" s="19" t="s">
        <v>43</v>
      </c>
      <c r="E9" s="19" t="s">
        <v>42</v>
      </c>
      <c r="F9" s="19" t="s">
        <v>41</v>
      </c>
      <c r="G9" s="19" t="s">
        <v>40</v>
      </c>
      <c r="H9" s="19" t="s">
        <v>39</v>
      </c>
      <c r="I9" s="19" t="s">
        <v>38</v>
      </c>
      <c r="J9" s="19" t="s">
        <v>37</v>
      </c>
      <c r="K9" s="19" t="s">
        <v>36</v>
      </c>
    </row>
    <row r="10" spans="1:11" ht="11.4" customHeight="1" x14ac:dyDescent="0.3">
      <c r="A10" s="18"/>
      <c r="B10" s="17">
        <v>1</v>
      </c>
      <c r="C10" s="17">
        <v>2</v>
      </c>
      <c r="D10" s="17">
        <v>3</v>
      </c>
      <c r="E10" s="17">
        <v>4</v>
      </c>
      <c r="F10" s="17">
        <v>5</v>
      </c>
      <c r="G10" s="17">
        <v>6</v>
      </c>
      <c r="H10" s="17">
        <v>7</v>
      </c>
      <c r="I10" s="17">
        <v>8</v>
      </c>
      <c r="J10" s="17">
        <v>9</v>
      </c>
      <c r="K10" s="17">
        <v>7</v>
      </c>
    </row>
    <row r="11" spans="1:11" ht="22.8" customHeight="1" x14ac:dyDescent="0.3">
      <c r="A11" s="14">
        <v>1</v>
      </c>
      <c r="B11" s="10" t="s">
        <v>35</v>
      </c>
      <c r="C11" s="8">
        <f>C12+SUM(C17:C22)</f>
        <v>4530574</v>
      </c>
      <c r="D11" s="8"/>
      <c r="E11" s="8">
        <f>E12+SUM(E17:E22)</f>
        <v>1222918</v>
      </c>
      <c r="F11" s="8">
        <f>F12+SUM(F17:F22)</f>
        <v>1374712</v>
      </c>
      <c r="G11" s="12"/>
      <c r="H11" s="12"/>
      <c r="I11" s="8">
        <f>D11+E11+F11+G11</f>
        <v>2597630</v>
      </c>
      <c r="J11" s="8">
        <f>C11-I11</f>
        <v>1932944</v>
      </c>
      <c r="K11" s="7"/>
    </row>
    <row r="12" spans="1:11" ht="66" x14ac:dyDescent="0.3">
      <c r="A12" s="11"/>
      <c r="B12" s="11" t="s">
        <v>34</v>
      </c>
      <c r="C12" s="8">
        <f>SUM(C13:C16)</f>
        <v>3780000</v>
      </c>
      <c r="D12" s="8"/>
      <c r="E12" s="8">
        <f>SUM(E13:E16)</f>
        <v>1080000</v>
      </c>
      <c r="F12" s="8">
        <f>SUM(F13:F16)</f>
        <v>1080000</v>
      </c>
      <c r="G12" s="12"/>
      <c r="H12" s="12"/>
      <c r="I12" s="8">
        <f>D12+E12+F12+G12</f>
        <v>2160000</v>
      </c>
      <c r="J12" s="8">
        <f t="shared" ref="J12:J38" si="0">C12-I12</f>
        <v>1620000</v>
      </c>
      <c r="K12" s="33" t="s">
        <v>52</v>
      </c>
    </row>
    <row r="13" spans="1:11" ht="15.6" x14ac:dyDescent="0.3">
      <c r="A13" s="11"/>
      <c r="B13" s="11" t="s">
        <v>33</v>
      </c>
      <c r="C13" s="12">
        <v>1015000</v>
      </c>
      <c r="D13" s="12"/>
      <c r="E13" s="12">
        <f>145000*2</f>
        <v>290000</v>
      </c>
      <c r="F13" s="12">
        <f>145000*2</f>
        <v>290000</v>
      </c>
      <c r="G13" s="12"/>
      <c r="H13" s="12"/>
      <c r="I13" s="12">
        <f t="shared" ref="I13:I37" si="1">D13+E13+F13+G13</f>
        <v>580000</v>
      </c>
      <c r="J13" s="12">
        <f t="shared" si="0"/>
        <v>435000</v>
      </c>
      <c r="K13" s="33" t="s">
        <v>32</v>
      </c>
    </row>
    <row r="14" spans="1:11" ht="15.6" x14ac:dyDescent="0.3">
      <c r="A14" s="11"/>
      <c r="B14" s="13" t="s">
        <v>31</v>
      </c>
      <c r="C14" s="12">
        <v>1120000</v>
      </c>
      <c r="D14" s="12"/>
      <c r="E14" s="12">
        <f>160000*2</f>
        <v>320000</v>
      </c>
      <c r="F14" s="12">
        <f>160000*2</f>
        <v>320000</v>
      </c>
      <c r="G14" s="12"/>
      <c r="H14" s="12"/>
      <c r="I14" s="12">
        <f t="shared" si="1"/>
        <v>640000</v>
      </c>
      <c r="J14" s="12">
        <f t="shared" si="0"/>
        <v>480000</v>
      </c>
      <c r="K14" s="33" t="s">
        <v>30</v>
      </c>
    </row>
    <row r="15" spans="1:11" ht="15.6" x14ac:dyDescent="0.3">
      <c r="A15" s="11"/>
      <c r="B15" s="13" t="s">
        <v>29</v>
      </c>
      <c r="C15" s="12">
        <v>1015000</v>
      </c>
      <c r="D15" s="12"/>
      <c r="E15" s="12">
        <f>145000*2</f>
        <v>290000</v>
      </c>
      <c r="F15" s="12">
        <f>145000*2</f>
        <v>290000</v>
      </c>
      <c r="G15" s="12"/>
      <c r="H15" s="12"/>
      <c r="I15" s="12">
        <f t="shared" si="1"/>
        <v>580000</v>
      </c>
      <c r="J15" s="12">
        <f t="shared" si="0"/>
        <v>435000</v>
      </c>
      <c r="K15" s="33" t="s">
        <v>28</v>
      </c>
    </row>
    <row r="16" spans="1:11" ht="19.8" customHeight="1" x14ac:dyDescent="0.3">
      <c r="A16" s="11"/>
      <c r="B16" s="13" t="s">
        <v>27</v>
      </c>
      <c r="C16" s="12">
        <v>630000</v>
      </c>
      <c r="D16" s="12"/>
      <c r="E16" s="12">
        <f>90000*2</f>
        <v>180000</v>
      </c>
      <c r="F16" s="12">
        <f>90000*2</f>
        <v>180000</v>
      </c>
      <c r="G16" s="12"/>
      <c r="H16" s="12"/>
      <c r="I16" s="12">
        <f t="shared" si="1"/>
        <v>360000</v>
      </c>
      <c r="J16" s="12">
        <f t="shared" si="0"/>
        <v>270000</v>
      </c>
      <c r="K16" s="33" t="s">
        <v>26</v>
      </c>
    </row>
    <row r="17" spans="1:11" ht="43.2" customHeight="1" x14ac:dyDescent="0.3">
      <c r="A17" s="16"/>
      <c r="B17" s="15" t="s">
        <v>25</v>
      </c>
      <c r="C17" s="12">
        <v>271382</v>
      </c>
      <c r="D17" s="12"/>
      <c r="E17" s="12">
        <f>(28133+17011)*2</f>
        <v>90288</v>
      </c>
      <c r="F17" s="12">
        <f>(28133+17011)*2</f>
        <v>90288</v>
      </c>
      <c r="G17" s="12"/>
      <c r="H17" s="12"/>
      <c r="I17" s="12">
        <f t="shared" si="1"/>
        <v>180576</v>
      </c>
      <c r="J17" s="12">
        <f t="shared" si="0"/>
        <v>90806</v>
      </c>
      <c r="K17" s="33" t="s">
        <v>53</v>
      </c>
    </row>
    <row r="18" spans="1:11" ht="29.4" customHeight="1" x14ac:dyDescent="0.3">
      <c r="A18" s="11"/>
      <c r="B18" s="11" t="s">
        <v>24</v>
      </c>
      <c r="C18" s="12">
        <v>96200</v>
      </c>
      <c r="D18" s="12"/>
      <c r="E18" s="12">
        <f>16200*2</f>
        <v>32400</v>
      </c>
      <c r="F18" s="12">
        <f>16200*2</f>
        <v>32400</v>
      </c>
      <c r="G18" s="12"/>
      <c r="H18" s="12"/>
      <c r="I18" s="12">
        <f t="shared" si="1"/>
        <v>64800</v>
      </c>
      <c r="J18" s="12">
        <f t="shared" si="0"/>
        <v>31400</v>
      </c>
      <c r="K18" s="33" t="s">
        <v>54</v>
      </c>
    </row>
    <row r="19" spans="1:11" ht="26.4" x14ac:dyDescent="0.3">
      <c r="A19" s="11"/>
      <c r="B19" s="11" t="s">
        <v>23</v>
      </c>
      <c r="C19" s="12">
        <v>42903</v>
      </c>
      <c r="D19" s="12"/>
      <c r="E19" s="12">
        <f>300*7</f>
        <v>2100</v>
      </c>
      <c r="F19" s="12">
        <f>300*14+550*2</f>
        <v>5300</v>
      </c>
      <c r="G19" s="12"/>
      <c r="H19" s="12"/>
      <c r="I19" s="12">
        <f t="shared" si="1"/>
        <v>7400</v>
      </c>
      <c r="J19" s="12">
        <f t="shared" si="0"/>
        <v>35503</v>
      </c>
      <c r="K19" s="33" t="s">
        <v>55</v>
      </c>
    </row>
    <row r="20" spans="1:11" ht="31.2" x14ac:dyDescent="0.3">
      <c r="A20" s="11"/>
      <c r="B20" s="11" t="s">
        <v>22</v>
      </c>
      <c r="C20" s="12">
        <v>42000</v>
      </c>
      <c r="D20" s="12"/>
      <c r="E20" s="12">
        <v>2130</v>
      </c>
      <c r="F20" s="12"/>
      <c r="G20" s="12"/>
      <c r="H20" s="12"/>
      <c r="I20" s="12">
        <f t="shared" si="1"/>
        <v>2130</v>
      </c>
      <c r="J20" s="12">
        <f t="shared" si="0"/>
        <v>39870</v>
      </c>
      <c r="K20" s="33"/>
    </row>
    <row r="21" spans="1:11" ht="15.6" x14ac:dyDescent="0.3">
      <c r="A21" s="11"/>
      <c r="B21" s="11" t="s">
        <v>21</v>
      </c>
      <c r="C21" s="12">
        <v>48000</v>
      </c>
      <c r="D21" s="12"/>
      <c r="E21" s="12">
        <v>16000</v>
      </c>
      <c r="F21" s="12"/>
      <c r="G21" s="12"/>
      <c r="H21" s="12"/>
      <c r="I21" s="12">
        <f t="shared" si="1"/>
        <v>16000</v>
      </c>
      <c r="J21" s="12">
        <f t="shared" si="0"/>
        <v>32000</v>
      </c>
      <c r="K21" s="33"/>
    </row>
    <row r="22" spans="1:11" ht="54.6" customHeight="1" x14ac:dyDescent="0.3">
      <c r="A22" s="11"/>
      <c r="B22" s="11" t="s">
        <v>20</v>
      </c>
      <c r="C22" s="12">
        <v>250089</v>
      </c>
      <c r="D22" s="12"/>
      <c r="E22" s="12"/>
      <c r="F22" s="12">
        <f>83362*2</f>
        <v>166724</v>
      </c>
      <c r="G22" s="12"/>
      <c r="H22" s="12"/>
      <c r="I22" s="12">
        <f t="shared" si="1"/>
        <v>166724</v>
      </c>
      <c r="J22" s="12">
        <f t="shared" si="0"/>
        <v>83365</v>
      </c>
      <c r="K22" s="33" t="s">
        <v>56</v>
      </c>
    </row>
    <row r="23" spans="1:11" ht="28.2" customHeight="1" x14ac:dyDescent="0.3">
      <c r="A23" s="14">
        <v>2</v>
      </c>
      <c r="B23" s="10" t="s">
        <v>19</v>
      </c>
      <c r="C23" s="8">
        <f>C24+C25</f>
        <v>727000</v>
      </c>
      <c r="D23" s="8"/>
      <c r="E23" s="8">
        <f>E24+E25</f>
        <v>726978</v>
      </c>
      <c r="F23" s="8">
        <f>F24+F25</f>
        <v>0</v>
      </c>
      <c r="G23" s="8"/>
      <c r="H23" s="8"/>
      <c r="I23" s="8">
        <f t="shared" si="1"/>
        <v>726978</v>
      </c>
      <c r="J23" s="8">
        <f t="shared" si="0"/>
        <v>22</v>
      </c>
      <c r="K23" s="33"/>
    </row>
    <row r="24" spans="1:11" ht="22.2" customHeight="1" x14ac:dyDescent="0.3">
      <c r="A24" s="14"/>
      <c r="B24" s="11" t="s">
        <v>18</v>
      </c>
      <c r="C24" s="12">
        <f>271500*2</f>
        <v>543000</v>
      </c>
      <c r="D24" s="12"/>
      <c r="E24" s="12">
        <f>271499*2</f>
        <v>542998</v>
      </c>
      <c r="F24" s="12"/>
      <c r="G24" s="12"/>
      <c r="H24" s="12"/>
      <c r="I24" s="12">
        <f t="shared" si="1"/>
        <v>542998</v>
      </c>
      <c r="J24" s="12">
        <f t="shared" si="0"/>
        <v>2</v>
      </c>
      <c r="K24" s="47"/>
    </row>
    <row r="25" spans="1:11" ht="22.2" customHeight="1" x14ac:dyDescent="0.3">
      <c r="A25" s="14"/>
      <c r="B25" s="11" t="s">
        <v>17</v>
      </c>
      <c r="C25" s="12">
        <f>2*92000</f>
        <v>184000</v>
      </c>
      <c r="D25" s="12"/>
      <c r="E25" s="12">
        <f>91990*2</f>
        <v>183980</v>
      </c>
      <c r="F25" s="12"/>
      <c r="G25" s="12"/>
      <c r="H25" s="12"/>
      <c r="I25" s="12">
        <f t="shared" si="1"/>
        <v>183980</v>
      </c>
      <c r="J25" s="12">
        <f t="shared" si="0"/>
        <v>20</v>
      </c>
      <c r="K25" s="48"/>
    </row>
    <row r="26" spans="1:11" ht="22.8" customHeight="1" x14ac:dyDescent="0.3">
      <c r="A26" s="14">
        <v>3</v>
      </c>
      <c r="B26" s="10" t="s">
        <v>16</v>
      </c>
      <c r="C26" s="8">
        <f>C27+C30+C34</f>
        <v>2237000</v>
      </c>
      <c r="D26" s="8"/>
      <c r="E26" s="8">
        <f>E27+E30+E34</f>
        <v>0</v>
      </c>
      <c r="F26" s="8">
        <f>F27+F30+F34</f>
        <v>293625</v>
      </c>
      <c r="G26" s="12"/>
      <c r="H26" s="12"/>
      <c r="I26" s="8">
        <f t="shared" si="1"/>
        <v>293625</v>
      </c>
      <c r="J26" s="8">
        <f t="shared" si="0"/>
        <v>1943375</v>
      </c>
      <c r="K26" s="33"/>
    </row>
    <row r="27" spans="1:11" ht="33.6" customHeight="1" x14ac:dyDescent="0.3">
      <c r="A27" s="11"/>
      <c r="B27" s="10" t="s">
        <v>15</v>
      </c>
      <c r="C27" s="8">
        <f>SUM(C28:C29)</f>
        <v>731250</v>
      </c>
      <c r="D27" s="8"/>
      <c r="E27" s="8">
        <f>SUM(E28:E29)</f>
        <v>0</v>
      </c>
      <c r="F27" s="8">
        <f>SUM(F28:F29)</f>
        <v>0</v>
      </c>
      <c r="G27" s="12"/>
      <c r="H27" s="12"/>
      <c r="I27" s="8">
        <f t="shared" si="1"/>
        <v>0</v>
      </c>
      <c r="J27" s="8">
        <f t="shared" si="0"/>
        <v>731250</v>
      </c>
      <c r="K27" s="33"/>
    </row>
    <row r="28" spans="1:11" ht="18.600000000000001" customHeight="1" x14ac:dyDescent="0.3">
      <c r="A28" s="11"/>
      <c r="B28" s="13" t="s">
        <v>11</v>
      </c>
      <c r="C28" s="12">
        <f>7*18750</f>
        <v>131250</v>
      </c>
      <c r="D28" s="12"/>
      <c r="E28" s="12"/>
      <c r="F28" s="26"/>
      <c r="G28" s="12"/>
      <c r="H28" s="12"/>
      <c r="I28" s="12">
        <f t="shared" si="1"/>
        <v>0</v>
      </c>
      <c r="J28" s="12">
        <f t="shared" si="0"/>
        <v>131250</v>
      </c>
      <c r="K28" s="33"/>
    </row>
    <row r="29" spans="1:11" ht="18.600000000000001" customHeight="1" x14ac:dyDescent="0.3">
      <c r="A29" s="11"/>
      <c r="B29" s="11" t="s">
        <v>14</v>
      </c>
      <c r="C29" s="12">
        <v>600000</v>
      </c>
      <c r="D29" s="12"/>
      <c r="E29" s="12"/>
      <c r="F29" s="12"/>
      <c r="G29" s="12"/>
      <c r="H29" s="12"/>
      <c r="I29" s="12">
        <f t="shared" si="1"/>
        <v>0</v>
      </c>
      <c r="J29" s="12">
        <f t="shared" si="0"/>
        <v>600000</v>
      </c>
      <c r="K29" s="33"/>
    </row>
    <row r="30" spans="1:11" ht="49.8" customHeight="1" x14ac:dyDescent="0.3">
      <c r="A30" s="11"/>
      <c r="B30" s="10" t="s">
        <v>13</v>
      </c>
      <c r="C30" s="8">
        <f>SUM(C31:C32)</f>
        <v>945750</v>
      </c>
      <c r="D30" s="8"/>
      <c r="E30" s="8">
        <f>SUM(E31:E32)</f>
        <v>0</v>
      </c>
      <c r="F30" s="8">
        <f>SUM(F31:F32)</f>
        <v>203625</v>
      </c>
      <c r="G30" s="12"/>
      <c r="H30" s="12"/>
      <c r="I30" s="8">
        <f t="shared" si="1"/>
        <v>203625</v>
      </c>
      <c r="J30" s="8">
        <f t="shared" si="0"/>
        <v>742125</v>
      </c>
      <c r="K30" s="33"/>
    </row>
    <row r="31" spans="1:11" ht="43.2" customHeight="1" x14ac:dyDescent="0.3">
      <c r="A31" s="11"/>
      <c r="B31" s="11" t="s">
        <v>12</v>
      </c>
      <c r="C31" s="12">
        <f>4*203625</f>
        <v>814500</v>
      </c>
      <c r="D31" s="12"/>
      <c r="E31" s="12"/>
      <c r="F31" s="12">
        <f>203625*1</f>
        <v>203625</v>
      </c>
      <c r="G31" s="12"/>
      <c r="H31" s="12"/>
      <c r="I31" s="12">
        <f t="shared" si="1"/>
        <v>203625</v>
      </c>
      <c r="J31" s="12">
        <f t="shared" si="0"/>
        <v>610875</v>
      </c>
      <c r="K31" s="33" t="s">
        <v>57</v>
      </c>
    </row>
    <row r="32" spans="1:11" ht="17.399999999999999" customHeight="1" x14ac:dyDescent="0.3">
      <c r="A32" s="11"/>
      <c r="B32" s="13" t="s">
        <v>11</v>
      </c>
      <c r="C32" s="12">
        <f>7*18750</f>
        <v>131250</v>
      </c>
      <c r="D32" s="12"/>
      <c r="E32" s="12"/>
      <c r="F32" s="26"/>
      <c r="G32" s="12"/>
      <c r="H32" s="12"/>
      <c r="I32" s="12">
        <f t="shared" si="1"/>
        <v>0</v>
      </c>
      <c r="J32" s="12">
        <f t="shared" si="0"/>
        <v>131250</v>
      </c>
      <c r="K32" s="23"/>
    </row>
    <row r="33" spans="1:11" ht="34.200000000000003" customHeight="1" x14ac:dyDescent="0.3">
      <c r="A33" s="11"/>
      <c r="B33" s="10" t="s">
        <v>10</v>
      </c>
      <c r="C33" s="12">
        <v>0</v>
      </c>
      <c r="D33" s="12"/>
      <c r="E33" s="12"/>
      <c r="F33" s="12"/>
      <c r="G33" s="12"/>
      <c r="H33" s="12"/>
      <c r="I33" s="12">
        <f t="shared" si="1"/>
        <v>0</v>
      </c>
      <c r="J33" s="12">
        <f t="shared" si="0"/>
        <v>0</v>
      </c>
      <c r="K33" s="23"/>
    </row>
    <row r="34" spans="1:11" ht="34.200000000000003" customHeight="1" x14ac:dyDescent="0.3">
      <c r="A34" s="11"/>
      <c r="B34" s="10" t="s">
        <v>9</v>
      </c>
      <c r="C34" s="8">
        <f>SUM(C35:C37)</f>
        <v>560000</v>
      </c>
      <c r="D34" s="8"/>
      <c r="E34" s="8">
        <f t="shared" ref="E34" si="2">SUM(E35:E37)</f>
        <v>0</v>
      </c>
      <c r="F34" s="8">
        <f t="shared" ref="F34" si="3">SUM(F35:F37)</f>
        <v>90000</v>
      </c>
      <c r="G34" s="12"/>
      <c r="H34" s="12"/>
      <c r="I34" s="8">
        <f t="shared" si="1"/>
        <v>90000</v>
      </c>
      <c r="J34" s="8">
        <f t="shared" si="0"/>
        <v>470000</v>
      </c>
      <c r="K34" s="7"/>
    </row>
    <row r="35" spans="1:11" ht="24.6" customHeight="1" x14ac:dyDescent="0.3">
      <c r="A35" s="11"/>
      <c r="B35" s="11" t="s">
        <v>8</v>
      </c>
      <c r="C35" s="12">
        <v>160000</v>
      </c>
      <c r="D35" s="12"/>
      <c r="E35" s="12"/>
      <c r="F35" s="26"/>
      <c r="G35" s="12"/>
      <c r="H35" s="12"/>
      <c r="I35" s="12">
        <f t="shared" si="1"/>
        <v>0</v>
      </c>
      <c r="J35" s="12">
        <f t="shared" si="0"/>
        <v>160000</v>
      </c>
      <c r="K35" s="7"/>
    </row>
    <row r="36" spans="1:11" ht="43.2" customHeight="1" x14ac:dyDescent="0.3">
      <c r="A36" s="11"/>
      <c r="B36" s="11" t="s">
        <v>7</v>
      </c>
      <c r="C36" s="12">
        <v>150000</v>
      </c>
      <c r="D36" s="12"/>
      <c r="E36" s="12"/>
      <c r="F36" s="12">
        <f>6*15000</f>
        <v>90000</v>
      </c>
      <c r="G36" s="12"/>
      <c r="H36" s="12"/>
      <c r="I36" s="12">
        <f t="shared" si="1"/>
        <v>90000</v>
      </c>
      <c r="J36" s="12">
        <f t="shared" si="0"/>
        <v>60000</v>
      </c>
      <c r="K36" s="33" t="s">
        <v>65</v>
      </c>
    </row>
    <row r="37" spans="1:11" ht="18.600000000000001" customHeight="1" x14ac:dyDescent="0.3">
      <c r="A37" s="11"/>
      <c r="B37" s="11" t="s">
        <v>6</v>
      </c>
      <c r="C37" s="12">
        <v>250000</v>
      </c>
      <c r="D37" s="12"/>
      <c r="E37" s="12"/>
      <c r="F37" s="12"/>
      <c r="G37" s="12"/>
      <c r="H37" s="12"/>
      <c r="I37" s="12">
        <f t="shared" si="1"/>
        <v>0</v>
      </c>
      <c r="J37" s="12">
        <f t="shared" si="0"/>
        <v>250000</v>
      </c>
      <c r="K37" s="7"/>
    </row>
    <row r="38" spans="1:11" ht="18.600000000000001" customHeight="1" x14ac:dyDescent="0.3">
      <c r="A38" s="11"/>
      <c r="B38" s="10" t="s">
        <v>5</v>
      </c>
      <c r="C38" s="8">
        <f>C11+C23+C26</f>
        <v>7494574</v>
      </c>
      <c r="D38" s="8"/>
      <c r="E38" s="8">
        <f>E11+E23+E26</f>
        <v>1949896</v>
      </c>
      <c r="F38" s="8">
        <f>F11+F23+F26</f>
        <v>1668337</v>
      </c>
      <c r="G38" s="8"/>
      <c r="H38" s="9"/>
      <c r="I38" s="8">
        <f>D38+E38+F38+G38</f>
        <v>3618233</v>
      </c>
      <c r="J38" s="8">
        <f t="shared" si="0"/>
        <v>3876341</v>
      </c>
      <c r="K38" s="7"/>
    </row>
    <row r="39" spans="1:11" ht="12.6" customHeight="1" x14ac:dyDescent="0.3">
      <c r="B39" s="4"/>
      <c r="E39" s="5"/>
      <c r="F39" s="24"/>
      <c r="I39" s="5"/>
    </row>
    <row r="40" spans="1:11" ht="15.6" x14ac:dyDescent="0.3">
      <c r="A40" s="3" t="s">
        <v>4</v>
      </c>
      <c r="D40" s="3" t="s">
        <v>2</v>
      </c>
      <c r="F40" s="5"/>
      <c r="G40" s="6"/>
      <c r="I40" s="25"/>
      <c r="J40" s="5"/>
    </row>
    <row r="41" spans="1:11" ht="22.2" customHeight="1" x14ac:dyDescent="0.3">
      <c r="I41" s="25"/>
    </row>
    <row r="42" spans="1:11" ht="15.6" x14ac:dyDescent="0.3">
      <c r="A42" s="3" t="s">
        <v>3</v>
      </c>
      <c r="D42" s="3" t="s">
        <v>2</v>
      </c>
      <c r="I42" s="25"/>
    </row>
    <row r="43" spans="1:11" x14ac:dyDescent="0.3">
      <c r="I43" s="25"/>
    </row>
    <row r="44" spans="1:11" ht="15.6" x14ac:dyDescent="0.3">
      <c r="A44" s="3" t="s">
        <v>1</v>
      </c>
      <c r="I44" s="25"/>
    </row>
    <row r="45" spans="1:11" ht="15.6" x14ac:dyDescent="0.3">
      <c r="A45" s="3" t="s">
        <v>0</v>
      </c>
      <c r="B45" s="4"/>
      <c r="I45" s="25"/>
    </row>
    <row r="46" spans="1:11" ht="15.6" x14ac:dyDescent="0.3">
      <c r="A46" s="3"/>
      <c r="B46" s="4"/>
      <c r="I46" s="25"/>
    </row>
    <row r="47" spans="1:11" ht="15.6" x14ac:dyDescent="0.3">
      <c r="A47" s="3"/>
      <c r="B47" s="4"/>
      <c r="I47" s="25"/>
    </row>
    <row r="48" spans="1:11" ht="15.6" x14ac:dyDescent="0.3">
      <c r="A48" s="3"/>
      <c r="B48" s="4"/>
      <c r="I48" s="25"/>
    </row>
    <row r="49" spans="1:11" ht="15.6" x14ac:dyDescent="0.3">
      <c r="A49" s="3"/>
      <c r="B49" s="4"/>
      <c r="I49" s="25"/>
    </row>
    <row r="50" spans="1:11" x14ac:dyDescent="0.3">
      <c r="I50" s="25"/>
    </row>
    <row r="51" spans="1:11" x14ac:dyDescent="0.3">
      <c r="B51" s="34" t="s">
        <v>64</v>
      </c>
      <c r="C51" s="35"/>
      <c r="D51" s="35"/>
      <c r="E51" s="35"/>
      <c r="F51" s="35"/>
      <c r="I51" s="25"/>
    </row>
    <row r="52" spans="1:11" x14ac:dyDescent="0.3">
      <c r="B52" s="27" t="s">
        <v>58</v>
      </c>
      <c r="C52" s="5">
        <f>2248372.2</f>
        <v>2248372.2000000002</v>
      </c>
      <c r="D52" s="5"/>
      <c r="E52" s="29" t="s">
        <v>60</v>
      </c>
      <c r="F52" s="5">
        <v>0</v>
      </c>
      <c r="G52" s="5"/>
      <c r="I52" s="25"/>
    </row>
    <row r="53" spans="1:11" x14ac:dyDescent="0.3">
      <c r="B53" s="27" t="s">
        <v>59</v>
      </c>
      <c r="C53" s="5">
        <v>1364927.2</v>
      </c>
      <c r="D53" s="5"/>
      <c r="E53" s="29" t="s">
        <v>61</v>
      </c>
      <c r="F53" s="5">
        <f>E38</f>
        <v>1949896</v>
      </c>
      <c r="G53" s="5"/>
      <c r="I53" s="25"/>
      <c r="J53" s="36" t="s">
        <v>67</v>
      </c>
      <c r="K53" s="5">
        <f>F54*30%</f>
        <v>500501.1</v>
      </c>
    </row>
    <row r="54" spans="1:11" x14ac:dyDescent="0.3">
      <c r="B54" s="27" t="s">
        <v>63</v>
      </c>
      <c r="D54" s="5"/>
      <c r="E54" s="29" t="s">
        <v>62</v>
      </c>
      <c r="F54" s="5">
        <f>F38</f>
        <v>1668337</v>
      </c>
      <c r="G54" s="5"/>
      <c r="I54" s="25"/>
      <c r="J54" s="36" t="s">
        <v>66</v>
      </c>
      <c r="K54" s="5">
        <f>F54*70%</f>
        <v>1167835.8999999999</v>
      </c>
    </row>
    <row r="55" spans="1:11" ht="18" customHeight="1" x14ac:dyDescent="0.3">
      <c r="B55" s="30" t="s">
        <v>5</v>
      </c>
      <c r="C55" s="31">
        <f>SUM(C52:C54)</f>
        <v>3613299.4000000004</v>
      </c>
      <c r="D55" s="32"/>
      <c r="E55" s="32"/>
      <c r="F55" s="31">
        <f>SUM(F52:F54)</f>
        <v>3618233</v>
      </c>
      <c r="G55" s="5"/>
      <c r="H55" s="5"/>
      <c r="J55" s="5"/>
    </row>
    <row r="56" spans="1:11" ht="15.6" x14ac:dyDescent="0.3">
      <c r="A56" s="3"/>
      <c r="C56" s="5"/>
      <c r="D56" s="28"/>
      <c r="E56" s="5"/>
      <c r="F56" s="5"/>
      <c r="G56" s="5"/>
      <c r="I56" s="25"/>
      <c r="J56" s="5"/>
    </row>
    <row r="57" spans="1:11" x14ac:dyDescent="0.3">
      <c r="C57" s="5"/>
      <c r="D57" s="5"/>
      <c r="E57" s="5"/>
      <c r="F57" s="5"/>
      <c r="G57" s="5"/>
      <c r="J57" s="5"/>
    </row>
    <row r="58" spans="1:11" ht="15.6" x14ac:dyDescent="0.3">
      <c r="A58" s="3"/>
      <c r="C58" s="5"/>
      <c r="D58" s="5"/>
      <c r="E58" s="5"/>
      <c r="F58" s="5"/>
      <c r="G58" s="5"/>
    </row>
    <row r="59" spans="1:11" ht="15.6" x14ac:dyDescent="0.3">
      <c r="A59" s="3"/>
      <c r="B59" s="4"/>
      <c r="C59" s="5"/>
      <c r="D59" s="5"/>
      <c r="E59" s="5"/>
      <c r="F59" s="5"/>
      <c r="G59" s="5"/>
    </row>
    <row r="61" spans="1:11" ht="15.6" x14ac:dyDescent="0.3">
      <c r="B61" s="3"/>
    </row>
    <row r="62" spans="1:11" ht="15.6" x14ac:dyDescent="0.3">
      <c r="A62" s="2"/>
    </row>
  </sheetData>
  <mergeCells count="6">
    <mergeCell ref="K24:K25"/>
    <mergeCell ref="A2:K2"/>
    <mergeCell ref="A4:K4"/>
    <mergeCell ref="A6:K6"/>
    <mergeCell ref="A7:K7"/>
    <mergeCell ref="A8:K8"/>
  </mergeCell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4"/>
  <sheetViews>
    <sheetView view="pageBreakPreview" topLeftCell="A28" zoomScale="80" zoomScaleNormal="100" zoomScaleSheetLayoutView="80" workbookViewId="0">
      <selection activeCell="I56" sqref="I56"/>
    </sheetView>
  </sheetViews>
  <sheetFormatPr defaultRowHeight="14.4" x14ac:dyDescent="0.3"/>
  <cols>
    <col min="1" max="1" width="5.109375" style="1" customWidth="1"/>
    <col min="2" max="2" width="33.5546875" style="1" customWidth="1"/>
    <col min="3" max="3" width="13.33203125" style="1" customWidth="1"/>
    <col min="4" max="4" width="8.44140625" style="1" customWidth="1"/>
    <col min="5" max="5" width="11.77734375" style="1" customWidth="1"/>
    <col min="6" max="6" width="14.5546875" style="1" customWidth="1"/>
    <col min="7" max="7" width="13.109375" style="1" customWidth="1"/>
    <col min="8" max="8" width="10.109375" style="1" hidden="1" customWidth="1"/>
    <col min="9" max="9" width="14" style="1" customWidth="1"/>
    <col min="10" max="10" width="13.21875" style="1" customWidth="1"/>
    <col min="11" max="11" width="50.109375" style="1" customWidth="1"/>
    <col min="12" max="16384" width="8.88671875" style="1"/>
  </cols>
  <sheetData>
    <row r="1" spans="1:11" ht="6" customHeight="1" x14ac:dyDescent="0.3"/>
    <row r="2" spans="1:11" ht="46.2" customHeight="1" x14ac:dyDescent="0.3">
      <c r="A2" s="49" t="s">
        <v>51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6.6" customHeight="1" x14ac:dyDescent="0.3">
      <c r="B3" s="22"/>
    </row>
    <row r="4" spans="1:11" ht="36.75" customHeight="1" x14ac:dyDescent="0.3">
      <c r="A4" s="50" t="s">
        <v>50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3" customHeight="1" x14ac:dyDescent="0.3">
      <c r="B5" s="21"/>
    </row>
    <row r="6" spans="1:11" ht="15.6" x14ac:dyDescent="0.3">
      <c r="A6" s="51" t="s">
        <v>49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.6" x14ac:dyDescent="0.3">
      <c r="A7" s="52" t="s">
        <v>48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15.6" x14ac:dyDescent="0.3">
      <c r="A8" s="51" t="s">
        <v>47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63.6" customHeight="1" x14ac:dyDescent="0.3">
      <c r="A9" s="20" t="s">
        <v>46</v>
      </c>
      <c r="B9" s="19" t="s">
        <v>45</v>
      </c>
      <c r="C9" s="19" t="s">
        <v>44</v>
      </c>
      <c r="D9" s="19" t="s">
        <v>43</v>
      </c>
      <c r="E9" s="19" t="s">
        <v>42</v>
      </c>
      <c r="F9" s="19" t="s">
        <v>41</v>
      </c>
      <c r="G9" s="19" t="s">
        <v>39</v>
      </c>
      <c r="H9" s="19" t="s">
        <v>39</v>
      </c>
      <c r="I9" s="19" t="s">
        <v>38</v>
      </c>
      <c r="J9" s="19" t="s">
        <v>37</v>
      </c>
      <c r="K9" s="19" t="s">
        <v>36</v>
      </c>
    </row>
    <row r="10" spans="1:11" ht="11.4" customHeight="1" x14ac:dyDescent="0.3">
      <c r="A10" s="18"/>
      <c r="B10" s="17">
        <v>1</v>
      </c>
      <c r="C10" s="17">
        <v>2</v>
      </c>
      <c r="D10" s="17">
        <v>3</v>
      </c>
      <c r="E10" s="17">
        <v>4</v>
      </c>
      <c r="F10" s="17">
        <v>5</v>
      </c>
      <c r="G10" s="17">
        <v>6</v>
      </c>
      <c r="H10" s="17">
        <v>7</v>
      </c>
      <c r="I10" s="17">
        <v>8</v>
      </c>
      <c r="J10" s="17">
        <v>9</v>
      </c>
      <c r="K10" s="17">
        <v>7</v>
      </c>
    </row>
    <row r="11" spans="1:11" ht="22.8" customHeight="1" x14ac:dyDescent="0.3">
      <c r="A11" s="14">
        <v>1</v>
      </c>
      <c r="B11" s="10" t="s">
        <v>35</v>
      </c>
      <c r="C11" s="38">
        <f>C12+SUM(C17:C22)</f>
        <v>4450596</v>
      </c>
      <c r="D11" s="38"/>
      <c r="E11" s="38">
        <f>E12+SUM(E17:E22)</f>
        <v>1222918</v>
      </c>
      <c r="F11" s="38">
        <f>F12+SUM(F17:F22)</f>
        <v>1374712</v>
      </c>
      <c r="G11" s="38">
        <f>G12+SUM(G17:G22)</f>
        <v>1852966</v>
      </c>
      <c r="H11" s="39"/>
      <c r="I11" s="38">
        <f t="shared" ref="I11:I38" si="0">D11+E11+F11+G11</f>
        <v>4450596</v>
      </c>
      <c r="J11" s="38">
        <f t="shared" ref="J11:J38" si="1">C11-I11</f>
        <v>0</v>
      </c>
      <c r="K11" s="40"/>
    </row>
    <row r="12" spans="1:11" ht="87.6" customHeight="1" x14ac:dyDescent="0.3">
      <c r="A12" s="11"/>
      <c r="B12" s="11" t="s">
        <v>34</v>
      </c>
      <c r="C12" s="38">
        <f>SUM(C13:C16)</f>
        <v>3780000</v>
      </c>
      <c r="D12" s="38"/>
      <c r="E12" s="38">
        <f>SUM(E13:E16)</f>
        <v>1080000</v>
      </c>
      <c r="F12" s="38">
        <f>SUM(F13:F16)</f>
        <v>1080000</v>
      </c>
      <c r="G12" s="38">
        <f>SUM(G13:G16)</f>
        <v>1620000</v>
      </c>
      <c r="H12" s="39"/>
      <c r="I12" s="38">
        <f t="shared" si="0"/>
        <v>3780000</v>
      </c>
      <c r="J12" s="38">
        <f t="shared" si="1"/>
        <v>0</v>
      </c>
      <c r="K12" s="41" t="s">
        <v>71</v>
      </c>
    </row>
    <row r="13" spans="1:11" ht="16.2" customHeight="1" x14ac:dyDescent="0.3">
      <c r="A13" s="11"/>
      <c r="B13" s="11" t="s">
        <v>33</v>
      </c>
      <c r="C13" s="39">
        <v>1015000</v>
      </c>
      <c r="D13" s="39"/>
      <c r="E13" s="39">
        <f>145000*2</f>
        <v>290000</v>
      </c>
      <c r="F13" s="39">
        <f>145000*2</f>
        <v>290000</v>
      </c>
      <c r="G13" s="39">
        <f>145000*3</f>
        <v>435000</v>
      </c>
      <c r="H13" s="39"/>
      <c r="I13" s="39">
        <f t="shared" si="0"/>
        <v>1015000</v>
      </c>
      <c r="J13" s="39">
        <f t="shared" si="1"/>
        <v>0</v>
      </c>
      <c r="K13" s="41" t="s">
        <v>32</v>
      </c>
    </row>
    <row r="14" spans="1:11" ht="16.2" customHeight="1" x14ac:dyDescent="0.3">
      <c r="A14" s="11"/>
      <c r="B14" s="13" t="s">
        <v>31</v>
      </c>
      <c r="C14" s="39">
        <v>1120000</v>
      </c>
      <c r="D14" s="39"/>
      <c r="E14" s="39">
        <f>160000*2</f>
        <v>320000</v>
      </c>
      <c r="F14" s="39">
        <f>160000*2</f>
        <v>320000</v>
      </c>
      <c r="G14" s="39">
        <f>160000*3</f>
        <v>480000</v>
      </c>
      <c r="H14" s="39"/>
      <c r="I14" s="39">
        <f t="shared" si="0"/>
        <v>1120000</v>
      </c>
      <c r="J14" s="39">
        <f t="shared" si="1"/>
        <v>0</v>
      </c>
      <c r="K14" s="41" t="s">
        <v>30</v>
      </c>
    </row>
    <row r="15" spans="1:11" ht="16.2" customHeight="1" x14ac:dyDescent="0.3">
      <c r="A15" s="11"/>
      <c r="B15" s="13" t="s">
        <v>29</v>
      </c>
      <c r="C15" s="39">
        <v>1015000</v>
      </c>
      <c r="D15" s="39"/>
      <c r="E15" s="39">
        <f>145000*2</f>
        <v>290000</v>
      </c>
      <c r="F15" s="39">
        <f>145000*2</f>
        <v>290000</v>
      </c>
      <c r="G15" s="39">
        <f>145000*3</f>
        <v>435000</v>
      </c>
      <c r="H15" s="39"/>
      <c r="I15" s="39">
        <f t="shared" si="0"/>
        <v>1015000</v>
      </c>
      <c r="J15" s="39">
        <f t="shared" si="1"/>
        <v>0</v>
      </c>
      <c r="K15" s="41" t="s">
        <v>28</v>
      </c>
    </row>
    <row r="16" spans="1:11" ht="16.2" customHeight="1" x14ac:dyDescent="0.3">
      <c r="A16" s="11"/>
      <c r="B16" s="13" t="s">
        <v>27</v>
      </c>
      <c r="C16" s="39">
        <v>630000</v>
      </c>
      <c r="D16" s="39"/>
      <c r="E16" s="39">
        <f>90000*2</f>
        <v>180000</v>
      </c>
      <c r="F16" s="39">
        <f>90000*2</f>
        <v>180000</v>
      </c>
      <c r="G16" s="39">
        <f>90000*3</f>
        <v>270000</v>
      </c>
      <c r="H16" s="39"/>
      <c r="I16" s="39">
        <f t="shared" si="0"/>
        <v>630000</v>
      </c>
      <c r="J16" s="39">
        <f t="shared" si="1"/>
        <v>0</v>
      </c>
      <c r="K16" s="41" t="s">
        <v>26</v>
      </c>
    </row>
    <row r="17" spans="1:11" ht="43.2" customHeight="1" x14ac:dyDescent="0.3">
      <c r="A17" s="16"/>
      <c r="B17" s="15" t="s">
        <v>25</v>
      </c>
      <c r="C17" s="39">
        <v>316008</v>
      </c>
      <c r="D17" s="39"/>
      <c r="E17" s="39">
        <f>(28133+17011)*2</f>
        <v>90288</v>
      </c>
      <c r="F17" s="39">
        <f>(28133+17011)*2</f>
        <v>90288</v>
      </c>
      <c r="G17" s="39">
        <f>(28133+17011)*3</f>
        <v>135432</v>
      </c>
      <c r="H17" s="39"/>
      <c r="I17" s="39">
        <f t="shared" si="0"/>
        <v>316008</v>
      </c>
      <c r="J17" s="39">
        <f t="shared" si="1"/>
        <v>0</v>
      </c>
      <c r="K17" s="41" t="s">
        <v>72</v>
      </c>
    </row>
    <row r="18" spans="1:11" ht="29.4" customHeight="1" x14ac:dyDescent="0.3">
      <c r="A18" s="11"/>
      <c r="B18" s="11" t="s">
        <v>24</v>
      </c>
      <c r="C18" s="39">
        <v>113400</v>
      </c>
      <c r="D18" s="39"/>
      <c r="E18" s="39">
        <f>16200*2</f>
        <v>32400</v>
      </c>
      <c r="F18" s="39">
        <f>16200*2</f>
        <v>32400</v>
      </c>
      <c r="G18" s="39">
        <f>16200*3</f>
        <v>48600</v>
      </c>
      <c r="H18" s="39"/>
      <c r="I18" s="39">
        <f t="shared" si="0"/>
        <v>113400</v>
      </c>
      <c r="J18" s="39">
        <f t="shared" si="1"/>
        <v>0</v>
      </c>
      <c r="K18" s="41" t="s">
        <v>73</v>
      </c>
    </row>
    <row r="19" spans="1:11" ht="15.6" customHeight="1" x14ac:dyDescent="0.3">
      <c r="A19" s="11"/>
      <c r="B19" s="11" t="s">
        <v>23</v>
      </c>
      <c r="C19" s="39">
        <v>16050</v>
      </c>
      <c r="D19" s="39"/>
      <c r="E19" s="39">
        <f>300*7</f>
        <v>2100</v>
      </c>
      <c r="F19" s="39">
        <f>300*14+550*2</f>
        <v>5300</v>
      </c>
      <c r="G19" s="45">
        <f>18*300+550+300*9</f>
        <v>8650</v>
      </c>
      <c r="H19" s="39"/>
      <c r="I19" s="39">
        <f t="shared" si="0"/>
        <v>16050</v>
      </c>
      <c r="J19" s="39">
        <f t="shared" si="1"/>
        <v>0</v>
      </c>
      <c r="K19" s="41" t="s">
        <v>70</v>
      </c>
    </row>
    <row r="20" spans="1:11" ht="31.2" x14ac:dyDescent="0.3">
      <c r="A20" s="11"/>
      <c r="B20" s="11" t="s">
        <v>22</v>
      </c>
      <c r="C20" s="39">
        <v>9530</v>
      </c>
      <c r="D20" s="39"/>
      <c r="E20" s="39">
        <v>2130</v>
      </c>
      <c r="F20" s="39"/>
      <c r="G20" s="45">
        <f>7400</f>
        <v>7400</v>
      </c>
      <c r="H20" s="39"/>
      <c r="I20" s="39">
        <f t="shared" si="0"/>
        <v>9530</v>
      </c>
      <c r="J20" s="39">
        <f t="shared" si="1"/>
        <v>0</v>
      </c>
      <c r="K20" s="41" t="s">
        <v>69</v>
      </c>
    </row>
    <row r="21" spans="1:11" ht="54.6" customHeight="1" x14ac:dyDescent="0.3">
      <c r="A21" s="11"/>
      <c r="B21" s="11" t="s">
        <v>21</v>
      </c>
      <c r="C21" s="39">
        <v>48882.8</v>
      </c>
      <c r="D21" s="39"/>
      <c r="E21" s="39">
        <v>16000</v>
      </c>
      <c r="F21" s="39"/>
      <c r="G21" s="45">
        <f>22525+10357.8</f>
        <v>32882.800000000003</v>
      </c>
      <c r="H21" s="39"/>
      <c r="I21" s="39">
        <f t="shared" si="0"/>
        <v>48882.8</v>
      </c>
      <c r="J21" s="39">
        <f t="shared" si="1"/>
        <v>0</v>
      </c>
      <c r="K21" s="41" t="s">
        <v>74</v>
      </c>
    </row>
    <row r="22" spans="1:11" ht="31.8" customHeight="1" x14ac:dyDescent="0.3">
      <c r="A22" s="11"/>
      <c r="B22" s="11" t="s">
        <v>20</v>
      </c>
      <c r="C22" s="39">
        <f>2*83362.6</f>
        <v>166725.20000000001</v>
      </c>
      <c r="D22" s="39"/>
      <c r="E22" s="39"/>
      <c r="F22" s="39">
        <f>83362*2</f>
        <v>166724</v>
      </c>
      <c r="G22" s="45">
        <f>83362.6*2-F22</f>
        <v>1.2000000000116415</v>
      </c>
      <c r="H22" s="39"/>
      <c r="I22" s="39">
        <f t="shared" si="0"/>
        <v>166725.20000000001</v>
      </c>
      <c r="J22" s="39">
        <f t="shared" si="1"/>
        <v>0</v>
      </c>
      <c r="K22" s="41" t="s">
        <v>68</v>
      </c>
    </row>
    <row r="23" spans="1:11" ht="31.2" customHeight="1" x14ac:dyDescent="0.3">
      <c r="A23" s="14">
        <v>2</v>
      </c>
      <c r="B23" s="10" t="s">
        <v>19</v>
      </c>
      <c r="C23" s="38">
        <f>C24+C25</f>
        <v>726978</v>
      </c>
      <c r="D23" s="38"/>
      <c r="E23" s="38">
        <f>E24+E25</f>
        <v>726978</v>
      </c>
      <c r="F23" s="38">
        <f>F24+F25</f>
        <v>0</v>
      </c>
      <c r="G23" s="38"/>
      <c r="H23" s="38"/>
      <c r="I23" s="38">
        <f t="shared" si="0"/>
        <v>726978</v>
      </c>
      <c r="J23" s="38">
        <f t="shared" si="1"/>
        <v>0</v>
      </c>
      <c r="K23" s="41"/>
    </row>
    <row r="24" spans="1:11" ht="22.2" customHeight="1" x14ac:dyDescent="0.3">
      <c r="A24" s="14"/>
      <c r="B24" s="11" t="s">
        <v>18</v>
      </c>
      <c r="C24" s="39">
        <f>271499*2</f>
        <v>542998</v>
      </c>
      <c r="D24" s="39"/>
      <c r="E24" s="39">
        <f>271499*2</f>
        <v>542998</v>
      </c>
      <c r="F24" s="39"/>
      <c r="G24" s="39"/>
      <c r="H24" s="39"/>
      <c r="I24" s="39">
        <f t="shared" si="0"/>
        <v>542998</v>
      </c>
      <c r="J24" s="39">
        <f t="shared" si="1"/>
        <v>0</v>
      </c>
      <c r="K24" s="53"/>
    </row>
    <row r="25" spans="1:11" ht="22.2" customHeight="1" x14ac:dyDescent="0.3">
      <c r="A25" s="14"/>
      <c r="B25" s="11" t="s">
        <v>17</v>
      </c>
      <c r="C25" s="39">
        <f>2*91990</f>
        <v>183980</v>
      </c>
      <c r="D25" s="39"/>
      <c r="E25" s="39">
        <f>91990*2</f>
        <v>183980</v>
      </c>
      <c r="F25" s="39"/>
      <c r="G25" s="39"/>
      <c r="H25" s="39"/>
      <c r="I25" s="39">
        <f t="shared" si="0"/>
        <v>183980</v>
      </c>
      <c r="J25" s="39">
        <f t="shared" si="1"/>
        <v>0</v>
      </c>
      <c r="K25" s="54"/>
    </row>
    <row r="26" spans="1:11" ht="22.8" customHeight="1" x14ac:dyDescent="0.3">
      <c r="A26" s="14">
        <v>3</v>
      </c>
      <c r="B26" s="10" t="s">
        <v>16</v>
      </c>
      <c r="C26" s="38">
        <f>C27+C30+C34</f>
        <v>2317000</v>
      </c>
      <c r="D26" s="38"/>
      <c r="E26" s="38">
        <f>E27+E30+E34</f>
        <v>0</v>
      </c>
      <c r="F26" s="38">
        <f>F27+F30+F34</f>
        <v>293625</v>
      </c>
      <c r="G26" s="38">
        <f>G27+G30+G34</f>
        <v>2023375</v>
      </c>
      <c r="H26" s="39"/>
      <c r="I26" s="38">
        <f t="shared" si="0"/>
        <v>2317000</v>
      </c>
      <c r="J26" s="38">
        <f t="shared" si="1"/>
        <v>0</v>
      </c>
      <c r="K26" s="41"/>
    </row>
    <row r="27" spans="1:11" ht="38.4" customHeight="1" x14ac:dyDescent="0.3">
      <c r="A27" s="11"/>
      <c r="B27" s="10" t="s">
        <v>15</v>
      </c>
      <c r="C27" s="38">
        <f>SUM(C28:C29)</f>
        <v>731250</v>
      </c>
      <c r="D27" s="38"/>
      <c r="E27" s="38">
        <f>SUM(E28:E29)</f>
        <v>0</v>
      </c>
      <c r="F27" s="38">
        <f>SUM(F28:F29)</f>
        <v>0</v>
      </c>
      <c r="G27" s="38">
        <f>SUM(G28:G29)</f>
        <v>731250</v>
      </c>
      <c r="H27" s="39"/>
      <c r="I27" s="38">
        <f t="shared" si="0"/>
        <v>731250</v>
      </c>
      <c r="J27" s="38">
        <f t="shared" si="1"/>
        <v>0</v>
      </c>
      <c r="K27" s="41"/>
    </row>
    <row r="28" spans="1:11" ht="45" customHeight="1" x14ac:dyDescent="0.3">
      <c r="A28" s="11"/>
      <c r="B28" s="13" t="s">
        <v>11</v>
      </c>
      <c r="C28" s="39">
        <f>7*18750</f>
        <v>131250</v>
      </c>
      <c r="D28" s="39"/>
      <c r="E28" s="39"/>
      <c r="F28" s="43"/>
      <c r="G28" s="39">
        <f>5*18750+18750*2</f>
        <v>131250</v>
      </c>
      <c r="H28" s="39"/>
      <c r="I28" s="39">
        <f t="shared" si="0"/>
        <v>131250</v>
      </c>
      <c r="J28" s="39">
        <f t="shared" si="1"/>
        <v>0</v>
      </c>
      <c r="K28" s="41" t="s">
        <v>75</v>
      </c>
    </row>
    <row r="29" spans="1:11" ht="42.6" customHeight="1" x14ac:dyDescent="0.3">
      <c r="A29" s="11"/>
      <c r="B29" s="11" t="s">
        <v>14</v>
      </c>
      <c r="C29" s="39">
        <v>600000</v>
      </c>
      <c r="D29" s="39"/>
      <c r="E29" s="39"/>
      <c r="F29" s="39"/>
      <c r="G29" s="39">
        <v>600000</v>
      </c>
      <c r="H29" s="39"/>
      <c r="I29" s="39">
        <f t="shared" si="0"/>
        <v>600000</v>
      </c>
      <c r="J29" s="39">
        <f t="shared" si="1"/>
        <v>0</v>
      </c>
      <c r="K29" s="41" t="s">
        <v>76</v>
      </c>
    </row>
    <row r="30" spans="1:11" ht="49.8" customHeight="1" x14ac:dyDescent="0.3">
      <c r="A30" s="11"/>
      <c r="B30" s="10" t="s">
        <v>13</v>
      </c>
      <c r="C30" s="38">
        <f>SUM(C31:C32)</f>
        <v>945750</v>
      </c>
      <c r="D30" s="38"/>
      <c r="E30" s="38">
        <f>SUM(E31:E32)</f>
        <v>0</v>
      </c>
      <c r="F30" s="38">
        <f>SUM(F31:F32)</f>
        <v>203625</v>
      </c>
      <c r="G30" s="38">
        <f>SUM(G31:G32)</f>
        <v>742125</v>
      </c>
      <c r="H30" s="39"/>
      <c r="I30" s="38">
        <f t="shared" si="0"/>
        <v>945750</v>
      </c>
      <c r="J30" s="38">
        <f t="shared" si="1"/>
        <v>0</v>
      </c>
      <c r="K30" s="41"/>
    </row>
    <row r="31" spans="1:11" ht="66.599999999999994" customHeight="1" x14ac:dyDescent="0.3">
      <c r="A31" s="11"/>
      <c r="B31" s="11" t="s">
        <v>12</v>
      </c>
      <c r="C31" s="39">
        <f>4*203625</f>
        <v>814500</v>
      </c>
      <c r="D31" s="39"/>
      <c r="E31" s="39"/>
      <c r="F31" s="39">
        <f>203625*1</f>
        <v>203625</v>
      </c>
      <c r="G31" s="39">
        <f>203625*1+203625*2</f>
        <v>610875</v>
      </c>
      <c r="H31" s="39"/>
      <c r="I31" s="39">
        <f t="shared" si="0"/>
        <v>814500</v>
      </c>
      <c r="J31" s="39">
        <f t="shared" si="1"/>
        <v>0</v>
      </c>
      <c r="K31" s="41" t="s">
        <v>77</v>
      </c>
    </row>
    <row r="32" spans="1:11" ht="45.6" customHeight="1" x14ac:dyDescent="0.3">
      <c r="A32" s="11"/>
      <c r="B32" s="13" t="s">
        <v>11</v>
      </c>
      <c r="C32" s="39">
        <f>7*18750</f>
        <v>131250</v>
      </c>
      <c r="D32" s="39"/>
      <c r="E32" s="39"/>
      <c r="F32" s="43"/>
      <c r="G32" s="39">
        <f>18750*5+18750*2</f>
        <v>131250</v>
      </c>
      <c r="H32" s="39"/>
      <c r="I32" s="39">
        <f t="shared" si="0"/>
        <v>131250</v>
      </c>
      <c r="J32" s="39">
        <f t="shared" si="1"/>
        <v>0</v>
      </c>
      <c r="K32" s="41" t="s">
        <v>75</v>
      </c>
    </row>
    <row r="33" spans="1:11" ht="34.200000000000003" customHeight="1" x14ac:dyDescent="0.3">
      <c r="A33" s="11"/>
      <c r="B33" s="10" t="s">
        <v>10</v>
      </c>
      <c r="C33" s="39">
        <v>0</v>
      </c>
      <c r="D33" s="39"/>
      <c r="E33" s="39"/>
      <c r="F33" s="39"/>
      <c r="G33" s="39"/>
      <c r="H33" s="39"/>
      <c r="I33" s="39">
        <f t="shared" si="0"/>
        <v>0</v>
      </c>
      <c r="J33" s="39">
        <f t="shared" si="1"/>
        <v>0</v>
      </c>
      <c r="K33" s="44"/>
    </row>
    <row r="34" spans="1:11" ht="34.200000000000003" customHeight="1" x14ac:dyDescent="0.3">
      <c r="A34" s="11"/>
      <c r="B34" s="10" t="s">
        <v>9</v>
      </c>
      <c r="C34" s="38">
        <f>SUM(C35:C37)</f>
        <v>640000</v>
      </c>
      <c r="D34" s="38"/>
      <c r="E34" s="38">
        <f t="shared" ref="E34:G34" si="2">SUM(E35:E37)</f>
        <v>0</v>
      </c>
      <c r="F34" s="38">
        <f t="shared" si="2"/>
        <v>90000</v>
      </c>
      <c r="G34" s="38">
        <f t="shared" si="2"/>
        <v>550000</v>
      </c>
      <c r="H34" s="39"/>
      <c r="I34" s="38">
        <f t="shared" si="0"/>
        <v>640000</v>
      </c>
      <c r="J34" s="38">
        <f t="shared" si="1"/>
        <v>0</v>
      </c>
      <c r="K34" s="40"/>
    </row>
    <row r="35" spans="1:11" ht="42" customHeight="1" x14ac:dyDescent="0.3">
      <c r="A35" s="11"/>
      <c r="B35" s="11" t="s">
        <v>8</v>
      </c>
      <c r="C35" s="39">
        <v>160000</v>
      </c>
      <c r="D35" s="39"/>
      <c r="E35" s="39"/>
      <c r="F35" s="43"/>
      <c r="G35" s="39">
        <v>160000</v>
      </c>
      <c r="H35" s="39"/>
      <c r="I35" s="39">
        <f t="shared" si="0"/>
        <v>160000</v>
      </c>
      <c r="J35" s="39">
        <f t="shared" si="1"/>
        <v>0</v>
      </c>
      <c r="K35" s="41" t="s">
        <v>78</v>
      </c>
    </row>
    <row r="36" spans="1:11" ht="21" customHeight="1" x14ac:dyDescent="0.3">
      <c r="A36" s="11"/>
      <c r="B36" s="11" t="s">
        <v>7</v>
      </c>
      <c r="C36" s="39">
        <f>10*23000</f>
        <v>230000</v>
      </c>
      <c r="D36" s="39"/>
      <c r="E36" s="39"/>
      <c r="F36" s="39">
        <f>6*15000</f>
        <v>90000</v>
      </c>
      <c r="G36" s="45">
        <f>4*35000</f>
        <v>140000</v>
      </c>
      <c r="H36" s="42"/>
      <c r="I36" s="39">
        <f t="shared" si="0"/>
        <v>230000</v>
      </c>
      <c r="J36" s="39">
        <f t="shared" si="1"/>
        <v>0</v>
      </c>
      <c r="K36" s="55" t="s">
        <v>79</v>
      </c>
    </row>
    <row r="37" spans="1:11" ht="21" customHeight="1" x14ac:dyDescent="0.3">
      <c r="A37" s="11"/>
      <c r="B37" s="11" t="s">
        <v>6</v>
      </c>
      <c r="C37" s="39">
        <f>10*25000</f>
        <v>250000</v>
      </c>
      <c r="D37" s="39"/>
      <c r="E37" s="39"/>
      <c r="F37" s="39"/>
      <c r="G37" s="45">
        <f>10*25000</f>
        <v>250000</v>
      </c>
      <c r="H37" s="46"/>
      <c r="I37" s="39">
        <f t="shared" si="0"/>
        <v>250000</v>
      </c>
      <c r="J37" s="39">
        <f t="shared" si="1"/>
        <v>0</v>
      </c>
      <c r="K37" s="56"/>
    </row>
    <row r="38" spans="1:11" ht="18.600000000000001" customHeight="1" x14ac:dyDescent="0.3">
      <c r="A38" s="11"/>
      <c r="B38" s="10" t="s">
        <v>5</v>
      </c>
      <c r="C38" s="38">
        <f>C11+C23+C26</f>
        <v>7494574</v>
      </c>
      <c r="D38" s="38"/>
      <c r="E38" s="38">
        <f>E11+E23+E26</f>
        <v>1949896</v>
      </c>
      <c r="F38" s="38">
        <f>F11+F23+F26</f>
        <v>1668337</v>
      </c>
      <c r="G38" s="38">
        <f>G11+G23+G26</f>
        <v>3876341</v>
      </c>
      <c r="H38" s="38">
        <f>H11+H23+H26</f>
        <v>0</v>
      </c>
      <c r="I38" s="38">
        <f t="shared" si="0"/>
        <v>7494574</v>
      </c>
      <c r="J38" s="38">
        <f t="shared" si="1"/>
        <v>0</v>
      </c>
      <c r="K38" s="40"/>
    </row>
    <row r="39" spans="1:11" ht="12.6" customHeight="1" x14ac:dyDescent="0.3">
      <c r="B39" s="4"/>
      <c r="C39" s="5"/>
      <c r="E39" s="5"/>
      <c r="F39" s="24"/>
      <c r="G39" s="5"/>
      <c r="I39" s="5"/>
    </row>
    <row r="40" spans="1:11" ht="15.6" x14ac:dyDescent="0.3">
      <c r="A40" s="3" t="s">
        <v>4</v>
      </c>
      <c r="D40" s="3" t="s">
        <v>2</v>
      </c>
      <c r="F40" s="5"/>
      <c r="G40" s="6"/>
      <c r="I40" s="25"/>
      <c r="J40" s="5"/>
    </row>
    <row r="41" spans="1:11" ht="22.2" customHeight="1" x14ac:dyDescent="0.3">
      <c r="I41" s="25"/>
    </row>
    <row r="42" spans="1:11" ht="15.6" x14ac:dyDescent="0.3">
      <c r="A42" s="3" t="s">
        <v>3</v>
      </c>
      <c r="D42" s="3" t="s">
        <v>2</v>
      </c>
      <c r="I42" s="25"/>
    </row>
    <row r="43" spans="1:11" x14ac:dyDescent="0.3">
      <c r="I43" s="25"/>
    </row>
    <row r="44" spans="1:11" ht="15.6" x14ac:dyDescent="0.3">
      <c r="A44" s="3" t="s">
        <v>1</v>
      </c>
      <c r="I44" s="25"/>
      <c r="J44" s="37"/>
    </row>
    <row r="45" spans="1:11" ht="15.6" x14ac:dyDescent="0.3">
      <c r="A45" s="3" t="s">
        <v>0</v>
      </c>
      <c r="B45" s="4"/>
      <c r="I45" s="25"/>
    </row>
    <row r="46" spans="1:11" ht="15.6" x14ac:dyDescent="0.3">
      <c r="A46" s="3"/>
      <c r="B46" s="4"/>
      <c r="I46" s="25"/>
    </row>
    <row r="47" spans="1:11" ht="15.6" x14ac:dyDescent="0.3">
      <c r="A47" s="3"/>
      <c r="B47" s="4"/>
      <c r="I47" s="25"/>
    </row>
    <row r="48" spans="1:11" ht="15.6" x14ac:dyDescent="0.3">
      <c r="A48" s="3"/>
      <c r="C48" s="5"/>
      <c r="D48" s="28"/>
      <c r="E48" s="5"/>
      <c r="F48" s="5"/>
      <c r="G48" s="5"/>
      <c r="I48" s="25"/>
      <c r="J48" s="5"/>
    </row>
    <row r="49" spans="1:10" x14ac:dyDescent="0.3">
      <c r="C49" s="5"/>
      <c r="D49" s="5"/>
      <c r="E49" s="5"/>
      <c r="F49" s="5"/>
      <c r="G49" s="5"/>
      <c r="J49" s="5"/>
    </row>
    <row r="50" spans="1:10" ht="15.6" x14ac:dyDescent="0.3">
      <c r="A50" s="3"/>
      <c r="C50" s="5"/>
      <c r="D50" s="5"/>
      <c r="E50" s="5"/>
      <c r="F50" s="5"/>
      <c r="G50" s="5"/>
    </row>
    <row r="51" spans="1:10" ht="15.6" x14ac:dyDescent="0.3">
      <c r="A51" s="3"/>
      <c r="B51" s="4"/>
      <c r="C51" s="5"/>
      <c r="D51" s="5"/>
      <c r="E51" s="5"/>
      <c r="F51" s="5"/>
      <c r="G51" s="5"/>
    </row>
    <row r="53" spans="1:10" ht="15.6" x14ac:dyDescent="0.3">
      <c r="B53" s="3"/>
    </row>
    <row r="54" spans="1:10" ht="15.6" x14ac:dyDescent="0.3">
      <c r="A54" s="2"/>
    </row>
  </sheetData>
  <mergeCells count="7">
    <mergeCell ref="K24:K25"/>
    <mergeCell ref="K36:K37"/>
    <mergeCell ref="A2:K2"/>
    <mergeCell ref="A4:K4"/>
    <mergeCell ref="A6:K6"/>
    <mergeCell ref="A7:K7"/>
    <mergeCell ref="A8:K8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отч_2_корректировка1</vt:lpstr>
      <vt:lpstr>отч_3</vt:lpstr>
      <vt:lpstr>отч_4_Корректировка2</vt:lpstr>
      <vt:lpstr>отч_2_корректировка1!_Hlk32248595</vt:lpstr>
      <vt:lpstr>отч_3!_Hlk32248595</vt:lpstr>
      <vt:lpstr>отч_4_Корректировка2!_Hlk32248595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2023-12-06T18:43:12Z</dcterms:modified>
</cp:coreProperties>
</file>