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цпги\"/>
    </mc:Choice>
  </mc:AlternateContent>
  <xr:revisionPtr revIDLastSave="0" documentId="13_ncr:1_{96CFCFA7-0F9E-481E-967C-45145C3E5651}" xr6:coauthVersionLast="47" xr6:coauthVersionMax="47" xr10:uidLastSave="{00000000-0000-0000-0000-000000000000}"/>
  <bookViews>
    <workbookView xWindow="-110" yWindow="-110" windowWidth="19420" windowHeight="10300" xr2:uid="{E6396192-CBAC-45AE-AC39-7F831BD26315}"/>
  </bookViews>
  <sheets>
    <sheet name="отчет 3 (2)" sheetId="1" r:id="rId1"/>
  </sheets>
  <definedNames>
    <definedName name="_Hlk32248595" localSheetId="0">'отчет 3 (2)'!$A$71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F21" i="1" l="1"/>
  <c r="J41" i="1"/>
  <c r="K41" i="1" s="1"/>
  <c r="G21" i="1"/>
  <c r="I21" i="1"/>
  <c r="J59" i="1"/>
  <c r="K59" i="1" s="1"/>
  <c r="K58" i="1" s="1"/>
  <c r="K57" i="1" s="1"/>
  <c r="J58" i="1"/>
  <c r="J57" i="1" s="1"/>
  <c r="I58" i="1"/>
  <c r="G58" i="1"/>
  <c r="F58" i="1"/>
  <c r="I57" i="1"/>
  <c r="H57" i="1"/>
  <c r="G57" i="1"/>
  <c r="F57" i="1"/>
  <c r="I56" i="1"/>
  <c r="J56" i="1" s="1"/>
  <c r="K56" i="1" s="1"/>
  <c r="J55" i="1"/>
  <c r="K55" i="1" s="1"/>
  <c r="I55" i="1"/>
  <c r="J54" i="1"/>
  <c r="K54" i="1" s="1"/>
  <c r="I53" i="1"/>
  <c r="I47" i="1" s="1"/>
  <c r="J52" i="1"/>
  <c r="K52" i="1" s="1"/>
  <c r="I52" i="1"/>
  <c r="I51" i="1"/>
  <c r="J51" i="1" s="1"/>
  <c r="K51" i="1" s="1"/>
  <c r="J50" i="1"/>
  <c r="K50" i="1" s="1"/>
  <c r="I50" i="1"/>
  <c r="H50" i="1"/>
  <c r="G50" i="1"/>
  <c r="H49" i="1"/>
  <c r="J49" i="1" s="1"/>
  <c r="K49" i="1" s="1"/>
  <c r="J48" i="1"/>
  <c r="I48" i="1"/>
  <c r="H48" i="1"/>
  <c r="G48" i="1"/>
  <c r="H47" i="1"/>
  <c r="G47" i="1"/>
  <c r="F47" i="1"/>
  <c r="I45" i="1"/>
  <c r="H45" i="1"/>
  <c r="G45" i="1"/>
  <c r="J45" i="1" s="1"/>
  <c r="E45" i="1"/>
  <c r="F45" i="1" s="1"/>
  <c r="I44" i="1"/>
  <c r="H44" i="1"/>
  <c r="J44" i="1" s="1"/>
  <c r="K44" i="1" s="1"/>
  <c r="E44" i="1"/>
  <c r="I43" i="1"/>
  <c r="J43" i="1" s="1"/>
  <c r="K43" i="1" s="1"/>
  <c r="J42" i="1"/>
  <c r="K42" i="1" s="1"/>
  <c r="I42" i="1"/>
  <c r="E41" i="1"/>
  <c r="J38" i="1"/>
  <c r="H38" i="1"/>
  <c r="E38" i="1"/>
  <c r="H37" i="1"/>
  <c r="H32" i="1" s="1"/>
  <c r="H31" i="1" s="1"/>
  <c r="G37" i="1"/>
  <c r="K36" i="1"/>
  <c r="J36" i="1"/>
  <c r="I35" i="1"/>
  <c r="K35" i="1" s="1"/>
  <c r="K34" i="1"/>
  <c r="J34" i="1"/>
  <c r="I33" i="1"/>
  <c r="J33" i="1" s="1"/>
  <c r="H33" i="1"/>
  <c r="G33" i="1"/>
  <c r="F33" i="1"/>
  <c r="K33" i="1" s="1"/>
  <c r="G32" i="1"/>
  <c r="G31" i="1" s="1"/>
  <c r="K30" i="1"/>
  <c r="J30" i="1"/>
  <c r="J29" i="1"/>
  <c r="K29" i="1" s="1"/>
  <c r="K28" i="1"/>
  <c r="J28" i="1"/>
  <c r="F28" i="1"/>
  <c r="J27" i="1"/>
  <c r="K27" i="1" s="1"/>
  <c r="I26" i="1"/>
  <c r="H26" i="1"/>
  <c r="G26" i="1"/>
  <c r="J26" i="1" s="1"/>
  <c r="K26" i="1" s="1"/>
  <c r="F26" i="1"/>
  <c r="J25" i="1"/>
  <c r="I25" i="1"/>
  <c r="H25" i="1"/>
  <c r="G25" i="1"/>
  <c r="F25" i="1"/>
  <c r="K25" i="1" s="1"/>
  <c r="I24" i="1"/>
  <c r="J24" i="1" s="1"/>
  <c r="K24" i="1" s="1"/>
  <c r="K23" i="1"/>
  <c r="J23" i="1"/>
  <c r="I23" i="1"/>
  <c r="J22" i="1"/>
  <c r="K22" i="1" s="1"/>
  <c r="G22" i="1"/>
  <c r="F22" i="1"/>
  <c r="H21" i="1"/>
  <c r="I20" i="1"/>
  <c r="H20" i="1"/>
  <c r="G20" i="1"/>
  <c r="J20" i="1" s="1"/>
  <c r="K20" i="1" s="1"/>
  <c r="E20" i="1"/>
  <c r="J19" i="1"/>
  <c r="K19" i="1" s="1"/>
  <c r="I19" i="1"/>
  <c r="H19" i="1"/>
  <c r="E19" i="1"/>
  <c r="I18" i="1"/>
  <c r="H18" i="1"/>
  <c r="J18" i="1" s="1"/>
  <c r="K18" i="1" s="1"/>
  <c r="E18" i="1"/>
  <c r="I17" i="1"/>
  <c r="J16" i="1"/>
  <c r="K16" i="1" s="1"/>
  <c r="H16" i="1"/>
  <c r="H12" i="1" s="1"/>
  <c r="H11" i="1" s="1"/>
  <c r="H60" i="1" s="1"/>
  <c r="E16" i="1"/>
  <c r="J15" i="1"/>
  <c r="K15" i="1" s="1"/>
  <c r="I15" i="1"/>
  <c r="H15" i="1"/>
  <c r="I14" i="1"/>
  <c r="I12" i="1" s="1"/>
  <c r="I11" i="1" s="1"/>
  <c r="H14" i="1"/>
  <c r="F14" i="1"/>
  <c r="J13" i="1"/>
  <c r="I13" i="1"/>
  <c r="H13" i="1"/>
  <c r="F13" i="1"/>
  <c r="F12" i="1" s="1"/>
  <c r="G12" i="1"/>
  <c r="J12" i="1" s="1"/>
  <c r="E21" i="1" l="1"/>
  <c r="K12" i="1"/>
  <c r="K38" i="1"/>
  <c r="K37" i="1" s="1"/>
  <c r="J37" i="1"/>
  <c r="K45" i="1"/>
  <c r="F37" i="1"/>
  <c r="F32" i="1" s="1"/>
  <c r="F31" i="1" s="1"/>
  <c r="I37" i="1"/>
  <c r="I32" i="1" s="1"/>
  <c r="I31" i="1" s="1"/>
  <c r="I60" i="1" s="1"/>
  <c r="K48" i="1"/>
  <c r="J53" i="1"/>
  <c r="K53" i="1" s="1"/>
  <c r="J14" i="1"/>
  <c r="K14" i="1" s="1"/>
  <c r="J21" i="1"/>
  <c r="J35" i="1"/>
  <c r="K13" i="1"/>
  <c r="G11" i="1"/>
  <c r="K47" i="1" l="1"/>
  <c r="K32" i="1" s="1"/>
  <c r="K31" i="1" s="1"/>
  <c r="F11" i="1"/>
  <c r="F60" i="1" s="1"/>
  <c r="J11" i="1"/>
  <c r="G60" i="1"/>
  <c r="J60" i="1" s="1"/>
  <c r="J32" i="1"/>
  <c r="J31" i="1" s="1"/>
</calcChain>
</file>

<file path=xl/sharedStrings.xml><?xml version="1.0" encoding="utf-8"?>
<sst xmlns="http://schemas.openxmlformats.org/spreadsheetml/2006/main" count="122" uniqueCount="98">
  <si>
    <t>Приложение 5 
к Договору о предоставлении государственного гранта
от «10» апреля 2023 года №61</t>
  </si>
  <si>
    <t>ИТОГОВЫЙ  ОТЧЕТ О РАСХОДОВАНИИ ДЕНЕЖНЫХ СРЕДСТВ</t>
  </si>
  <si>
    <t xml:space="preserve"> Грантополучатель:  ОФ «Право»
</t>
  </si>
  <si>
    <t>Тема гранта: Организация деятельности центров ресурсной поддержки семьи при семейных судах «Бақытты отбасы»</t>
  </si>
  <si>
    <t>Сумма гранта: 2023 г-45500000 тг.</t>
  </si>
  <si>
    <t>№</t>
  </si>
  <si>
    <t>Статьи расходов</t>
  </si>
  <si>
    <t>Смета расходов</t>
  </si>
  <si>
    <t>Промежуточный отчет № 1</t>
  </si>
  <si>
    <t>Промежуточный Отчет № 2</t>
  </si>
  <si>
    <t>Промежуточный Отчет № 1</t>
  </si>
  <si>
    <t>Заключительный отчет №3</t>
  </si>
  <si>
    <t>Сумма (3+4+5+6+7)</t>
  </si>
  <si>
    <t>Остаток (2-8)</t>
  </si>
  <si>
    <t>Контрагент, дата и назначения платежа</t>
  </si>
  <si>
    <t>Административные затраты:</t>
  </si>
  <si>
    <t>Заработная плата, в том числе:</t>
  </si>
  <si>
    <t>Руководитель проекта  70% от оклада 285720тг -200000 тг</t>
  </si>
  <si>
    <t>месяц</t>
  </si>
  <si>
    <t>Рыль О.В. ТД №39 от 02.05.2023 г,Приказ №22 от 02.05.2023 г.  Оплата за сентябрь -декабрь  2023 г, ИПН сентябрь декабрь</t>
  </si>
  <si>
    <t>Бухгалтер 50% от оклада -200000 тг-100000 тг</t>
  </si>
  <si>
    <t>Стецюк О.С.ТД №40 от 02.05.2023 г,Приказ №23 от 02.05.2023 г.  Оплата за сентябрь -декабрь 2023 г, ИПН сентябрь -декабрь .ОПВ сентябрь -декабрь 2023 г, восмссентябрь -декабрь  2023 г.</t>
  </si>
  <si>
    <t xml:space="preserve">Психолог (3 человек)  183296 тг </t>
  </si>
  <si>
    <t>Нигай Евгения Владимировна,   Гергерт Валерия Витальевна, Толеуханова Алия Нуржанқызы, Оплата за сентябрь -декабрь 2023 г, ИПН сентябрь -декабрь .ОПВ сентябрь -декабрь 2023 г, восмссентябрь -декабрь  2023 г.</t>
  </si>
  <si>
    <t>Психолог (2 человека)  183296 тг Шымкент 2ч, )</t>
  </si>
  <si>
    <t xml:space="preserve">
Сайлау Дария Үсіпбекқызы, Амирбекова Роза Худаяровна.                                                Оплата за сентябрь -декабрь 2023 г, ИПН сентябрь -декабрь .ОПВ сентябрь -декабрь 2023 г, восмссентябрь -декабрь  2023 г.
</t>
  </si>
  <si>
    <t>Психолог (4 человек)  260000 тг (Астана 2 ч, Алматы 2ч, )</t>
  </si>
  <si>
    <t>Кожахметова Дарина Рустамовна, Тауекелова Гулдана Адилашевна,Бутабаева Асем Талгатовна,  Аккулева Адина Аблайхановна, Оплата за сентябрь -декабрь 2023 г, ИПН сентябрь -декабрь .ОПВ сентябрь -декабрь 2023 г, восмссентябрь -декабрь  2023 г.</t>
  </si>
  <si>
    <t>Певцова Александра Петровна,  Сайлауова Адина Куанышевна,Васильева Юлия Римовна  Оплата за сентябрь -декабрь 2023 г, ИПН сентябрь -декабрь .ОПВ сентябрь -декабрь 2023 г, восмссентябрь -декабрь  2023 г.</t>
  </si>
  <si>
    <t>Социальный налог и социальные отчисления</t>
  </si>
  <si>
    <t>СН Сентябрь-декабрь, СО сентябрь-декабрь</t>
  </si>
  <si>
    <t>Обязательное социальное медицинское страхование</t>
  </si>
  <si>
    <t>ОСМС сентябрь-декабрь</t>
  </si>
  <si>
    <t>Банковские услуги</t>
  </si>
  <si>
    <t>Выписка банка с 1,09 по 30.11.2023 г</t>
  </si>
  <si>
    <t>Расходные материалы, приобретение товаров, необходимых для обслуживания и содержания основных средств и другие запасы, в том числе:</t>
  </si>
  <si>
    <t>Канцелярские товары</t>
  </si>
  <si>
    <t>авансовый Рыль ОВ</t>
  </si>
  <si>
    <t>Материально-техническое обеспечение, в том числе:</t>
  </si>
  <si>
    <t>1) закупка вычислительного и другого оборудования (с указанием наименования каждого оборудования):</t>
  </si>
  <si>
    <t>Профессиональный принтер</t>
  </si>
  <si>
    <t>штук</t>
  </si>
  <si>
    <t>ПК в комплекте</t>
  </si>
  <si>
    <t>МФУ Epson L3151</t>
  </si>
  <si>
    <t>ТОО "Компания ЛАЙН". Счетна оплату №21200012044 от 20.11.2023 г. .Договор№809-Lот 21.11.2023 г., накл №2120012839 от 22.11.23г,накл№2120013131 от 29.11.23 г, накл№2120013023 от 27.11.2023 гЭСФ№21210288 от 22,11,23 г, ЭСФ№21210404 от 27.11.23 г, ЭСФ№21210489 от 29.11.23</t>
  </si>
  <si>
    <t>портативный wi-fi роутер</t>
  </si>
  <si>
    <t>счет№01700000614 от 14.09.23 г</t>
  </si>
  <si>
    <t>Прямые расходы:</t>
  </si>
  <si>
    <t xml:space="preserve">Мероприятие 1. Создание Центров ресурсной поддержки семьи при семейных судах
</t>
  </si>
  <si>
    <t>Перелет для создания новых центров</t>
  </si>
  <si>
    <t>Астана-Актобе</t>
  </si>
  <si>
    <t>билеты  авансовый Рыль ОВ</t>
  </si>
  <si>
    <t>Актобе атырау-Алматы</t>
  </si>
  <si>
    <t>астана шымкент</t>
  </si>
  <si>
    <t>билеты авансовый Рыль ОВ</t>
  </si>
  <si>
    <t>Расходы по оплате работ и услуг, оказываемых физическими лицами, в том числе:</t>
  </si>
  <si>
    <t>Услуги Медиатора/юриста-2 человек оплата 150000 тг</t>
  </si>
  <si>
    <t>Бисенгалиева Уразбике , Оплата за сентябрь -декабрь 2023 г, ИПН сентябрь -декабрь .ОПВ сентябрь -декабрь 2023 г, восмссентябрь -декабрь  2023 г</t>
  </si>
  <si>
    <t>Мадиева Г.С,  Иманбеков А.М, Ногачаевская Н.М., Асабаева Ж.В, Агибаева А.Н. Оплата за сентябрь -декабрь 2023 г, ИПН сентябрь -декабрь .ОПВ сентябрь -декабрь 2023 г, восмссентябрь -декабрь  2023 г</t>
  </si>
  <si>
    <t>Услуги социального работника</t>
  </si>
  <si>
    <t>Қарабак Нургуль  Оплата за сентябрь -декабрь 2023 г, ИПН сентябрь -декабрь .ОПВ сентябрь -декабрь 2023 г, восмссентябрь -декабрь  2023 г</t>
  </si>
  <si>
    <t>Услуги переводчика</t>
  </si>
  <si>
    <t>Абдыкаримова Ж Оплата за сентябрь -декабрь 2023 г, ИПН сентябрь -декабрь .ОПВ сентябрь -декабрь 2023 г, восмссентябрь -декабрь  2023 г</t>
  </si>
  <si>
    <t>Услуги Социолога  170000 тг</t>
  </si>
  <si>
    <t>Рамазан А. Оплата за сентябрь -декабрь 2023 г, ИПН сентябрь -декабрь .ОПВ сентябрь -декабрь 2023 г, восмссентябрь -декабрь  2023 г</t>
  </si>
  <si>
    <t>Уборка помещения 70000-2 чел</t>
  </si>
  <si>
    <t>Сауленбаева Г. ДУ№50 от 02.05.2023 г. Оплата п/п№261 от 05.06.2023 г. ОПВ п/п№264 от 05.06.2023 г, ИПН п/п№268 от 05.06.2023 г, ВОСМС п/п№265 от 05.06.2023 г. АВР№1 от 31.05.2023 г</t>
  </si>
  <si>
    <t>Бекбауова М.М.. ДУ№50 от 02.05.2023 г. Оплата п/п№261 от 05.06.2023 г. ОПВ п/п№264 от 05.06.2023 г, ИПН п/п№268 от 05.06.2023 г, ВОСМС п/п№265 от 05.06.2023 г. АВР№1 от 31.05.2023 г</t>
  </si>
  <si>
    <t>работы и услуги юридических лиц, в том числе:</t>
  </si>
  <si>
    <t>Аренда помещения Алматы</t>
  </si>
  <si>
    <t>услуга</t>
  </si>
  <si>
    <t xml:space="preserve">ИП Абдушарипова Г.Т. Договор№3 от 10.04.2023 г. </t>
  </si>
  <si>
    <t xml:space="preserve">Возмещение коммунальных услуг Алматы услуг связи </t>
  </si>
  <si>
    <t>Аренда помещения Шымкент</t>
  </si>
  <si>
    <t xml:space="preserve">ИП Серякова И.В. Договор аренды помещения№9-04/23 от 10.04.2023 г. </t>
  </si>
  <si>
    <t xml:space="preserve">Возмещение коммунальных услуг и услуг связи Шымкент </t>
  </si>
  <si>
    <t>25000 тг. ИПАюпов Дмитрий Фараджевич 70000 ТОО "NS маркетинг" 122360 ТОО  "FOCUS Media Ka 39400 ИП "Advertising Solutions" 90000ТОО "Масс Медиа 2006"</t>
  </si>
  <si>
    <t>информационная поддержка проекта изготовление видеороликов</t>
  </si>
  <si>
    <t>размещение в СМИ</t>
  </si>
  <si>
    <t>печать буклетов</t>
  </si>
  <si>
    <t>380000 ИП ENTER GROUP п/п№573 от 03.11.2023 г. счет№439 от 03.11.23 г. Авр№577 от 03.11.2023 г.190000  Ип AZ? Счет І73 от 06№12№23г</t>
  </si>
  <si>
    <t>изготовления баннера/пилона</t>
  </si>
  <si>
    <t>49500 ИП "COPYGROUP", счет№1048 от 04.10.23 г. акт№32 от 04.10.23п/п№487 от 04.10.23 г. 96000 Ип AZ? Счет І73 от 06№12№23г</t>
  </si>
  <si>
    <t>Мероприятие 2. "Обучение специалистов в регионах"</t>
  </si>
  <si>
    <t>Расходы по оплате работ и услуг, оказываемых юридическими и физическими лицами, в том числе:</t>
  </si>
  <si>
    <t xml:space="preserve">Мероприятие 3 Проведение круглого стола </t>
  </si>
  <si>
    <t>Итого</t>
  </si>
  <si>
    <t>Руководитель организации _____________</t>
  </si>
  <si>
    <t>Рыль О.В.</t>
  </si>
  <si>
    <t>Бухгалтер организации _____________</t>
  </si>
  <si>
    <t>Стецюк О.С.</t>
  </si>
  <si>
    <t>Дата:</t>
  </si>
  <si>
    <t>06.09.2023 г.</t>
  </si>
  <si>
    <t xml:space="preserve">М.П. </t>
  </si>
  <si>
    <t>__________________________________</t>
  </si>
  <si>
    <t>Услуги Медиатора/юриста-3 человек оплата 150000 тг</t>
  </si>
  <si>
    <t>размещение и изготовление роликов на радио</t>
  </si>
  <si>
    <t xml:space="preserve">Услуги эксперта для обучения (1 человек)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</si>
</sst>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5" fontId="2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165" fontId="10" fillId="0" borderId="1" xfId="0" applyNumberFormat="1" applyFont="1" applyBorder="1"/>
    <xf numFmtId="165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0" fillId="0" borderId="0" xfId="0" applyNumberFormat="1"/>
    <xf numFmtId="0" fontId="3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42CF0-6F82-49E0-8C84-BC48B3C964D0}">
  <sheetPr>
    <pageSetUpPr fitToPage="1"/>
  </sheetPr>
  <dimension ref="A2:M71"/>
  <sheetViews>
    <sheetView tabSelected="1" view="pageBreakPreview" topLeftCell="A30" zoomScaleNormal="100" zoomScaleSheetLayoutView="100" workbookViewId="0">
      <selection activeCell="I41" sqref="I41"/>
    </sheetView>
  </sheetViews>
  <sheetFormatPr defaultRowHeight="14.5" x14ac:dyDescent="0.35"/>
  <cols>
    <col min="2" max="2" width="32.453125" customWidth="1"/>
    <col min="3" max="3" width="13.36328125" hidden="1" customWidth="1"/>
    <col min="4" max="4" width="18.6328125" hidden="1" customWidth="1"/>
    <col min="5" max="5" width="18.90625" hidden="1" customWidth="1"/>
    <col min="6" max="6" width="17.453125" customWidth="1"/>
    <col min="7" max="7" width="18.453125" style="3" customWidth="1"/>
    <col min="8" max="9" width="18.08984375" customWidth="1"/>
    <col min="10" max="10" width="14" customWidth="1"/>
    <col min="11" max="11" width="14.54296875" customWidth="1"/>
    <col min="12" max="12" width="56.36328125" customWidth="1"/>
  </cols>
  <sheetData>
    <row r="2" spans="1:12" ht="57" customHeight="1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x14ac:dyDescent="0.35">
      <c r="B3" s="2"/>
    </row>
    <row r="4" spans="1:12" ht="36.75" customHeight="1" x14ac:dyDescent="0.3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5" x14ac:dyDescent="0.35">
      <c r="B5" s="5"/>
    </row>
    <row r="6" spans="1:12" ht="15" x14ac:dyDescent="0.35">
      <c r="A6" s="6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" x14ac:dyDescent="0.35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" x14ac:dyDescent="0.3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28" x14ac:dyDescent="0.35">
      <c r="A9" s="8" t="s">
        <v>5</v>
      </c>
      <c r="B9" s="9" t="s">
        <v>6</v>
      </c>
      <c r="C9" s="9" t="s">
        <v>7</v>
      </c>
      <c r="D9" s="9" t="s">
        <v>8</v>
      </c>
      <c r="E9" s="9" t="s">
        <v>9</v>
      </c>
      <c r="F9" s="9" t="s">
        <v>7</v>
      </c>
      <c r="G9" s="9" t="s">
        <v>10</v>
      </c>
      <c r="H9" s="9" t="s">
        <v>9</v>
      </c>
      <c r="I9" s="9" t="s">
        <v>11</v>
      </c>
      <c r="J9" s="9" t="s">
        <v>12</v>
      </c>
      <c r="K9" s="9" t="s">
        <v>13</v>
      </c>
      <c r="L9" s="10" t="s">
        <v>14</v>
      </c>
    </row>
    <row r="10" spans="1:12" x14ac:dyDescent="0.3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/>
      <c r="J10" s="12">
        <v>8</v>
      </c>
      <c r="K10" s="12">
        <v>9</v>
      </c>
      <c r="L10" s="13">
        <v>7</v>
      </c>
    </row>
    <row r="11" spans="1:12" ht="15" x14ac:dyDescent="0.35">
      <c r="A11" s="14">
        <v>1</v>
      </c>
      <c r="B11" s="15" t="s">
        <v>15</v>
      </c>
      <c r="C11" s="14"/>
      <c r="D11" s="14"/>
      <c r="E11" s="16"/>
      <c r="F11" s="16">
        <f>F12+F20+F21+F22+F23</f>
        <v>21163911.68</v>
      </c>
      <c r="G11" s="16">
        <f>G12+G20+G21+G22+G23</f>
        <v>1559056.28</v>
      </c>
      <c r="H11" s="16">
        <f>H12+H20+H21+H22+H23</f>
        <v>6843928</v>
      </c>
      <c r="I11" s="16">
        <f>I12+I20+I21+I22+I23</f>
        <v>12760928</v>
      </c>
      <c r="J11" s="17">
        <f>G11+H11+I11</f>
        <v>21163912.280000001</v>
      </c>
      <c r="K11" s="17">
        <v>0</v>
      </c>
      <c r="L11" s="18"/>
    </row>
    <row r="12" spans="1:12" ht="15" x14ac:dyDescent="0.35">
      <c r="A12" s="14"/>
      <c r="B12" s="19" t="s">
        <v>16</v>
      </c>
      <c r="C12" s="14"/>
      <c r="D12" s="14"/>
      <c r="E12" s="16"/>
      <c r="F12" s="16">
        <f>SUM(F13:F19)</f>
        <v>18781056</v>
      </c>
      <c r="G12" s="16">
        <f>SUM(G13:G19)</f>
        <v>1399776</v>
      </c>
      <c r="H12" s="16">
        <f>SUM(H13:H19)</f>
        <v>6155808</v>
      </c>
      <c r="I12" s="20">
        <f>SUM(I13:I19)</f>
        <v>11225472</v>
      </c>
      <c r="J12" s="17">
        <f>G12+H12+I12</f>
        <v>18781056</v>
      </c>
      <c r="K12" s="17">
        <f t="shared" ref="K12:K16" si="0">F12-J12</f>
        <v>0</v>
      </c>
      <c r="L12" s="18"/>
    </row>
    <row r="13" spans="1:12" ht="31" x14ac:dyDescent="0.35">
      <c r="A13" s="14"/>
      <c r="B13" s="21" t="s">
        <v>17</v>
      </c>
      <c r="C13" s="22" t="s">
        <v>18</v>
      </c>
      <c r="D13" s="22">
        <v>8</v>
      </c>
      <c r="E13" s="23">
        <v>200000</v>
      </c>
      <c r="F13" s="23">
        <f>D13*E13</f>
        <v>1600000</v>
      </c>
      <c r="G13" s="24">
        <v>200000</v>
      </c>
      <c r="H13" s="24">
        <f>200000*3</f>
        <v>600000</v>
      </c>
      <c r="I13" s="24">
        <f>200000*4</f>
        <v>800000</v>
      </c>
      <c r="J13" s="25">
        <f>G13+H13+I13</f>
        <v>1600000</v>
      </c>
      <c r="K13" s="25">
        <f t="shared" si="0"/>
        <v>0</v>
      </c>
      <c r="L13" s="18" t="s">
        <v>19</v>
      </c>
    </row>
    <row r="14" spans="1:12" ht="56" x14ac:dyDescent="0.35">
      <c r="A14" s="14"/>
      <c r="B14" s="21" t="s">
        <v>20</v>
      </c>
      <c r="C14" s="22" t="s">
        <v>18</v>
      </c>
      <c r="D14" s="22">
        <v>8</v>
      </c>
      <c r="E14" s="23">
        <v>100000</v>
      </c>
      <c r="F14" s="23">
        <f>D14*E14</f>
        <v>800000</v>
      </c>
      <c r="G14" s="24">
        <v>100000</v>
      </c>
      <c r="H14" s="24">
        <f>100000*3</f>
        <v>300000</v>
      </c>
      <c r="I14" s="24">
        <f>100000*4</f>
        <v>400000</v>
      </c>
      <c r="J14" s="25">
        <f>G14+H14+I14</f>
        <v>800000</v>
      </c>
      <c r="K14" s="25">
        <f t="shared" si="0"/>
        <v>0</v>
      </c>
      <c r="L14" s="18" t="s">
        <v>21</v>
      </c>
    </row>
    <row r="15" spans="1:12" ht="76.25" customHeight="1" x14ac:dyDescent="0.35">
      <c r="A15" s="26"/>
      <c r="B15" s="27" t="s">
        <v>22</v>
      </c>
      <c r="C15" s="28"/>
      <c r="D15" s="28"/>
      <c r="E15" s="29"/>
      <c r="F15" s="30">
        <v>4399104</v>
      </c>
      <c r="G15" s="31">
        <v>1099776</v>
      </c>
      <c r="H15" s="31">
        <f>183296*4*2</f>
        <v>1466368</v>
      </c>
      <c r="I15" s="31">
        <f>183296*3*4</f>
        <v>2199552</v>
      </c>
      <c r="J15" s="25">
        <f>F15</f>
        <v>4399104</v>
      </c>
      <c r="K15" s="25">
        <f t="shared" si="0"/>
        <v>0</v>
      </c>
      <c r="L15" s="18" t="s">
        <v>23</v>
      </c>
    </row>
    <row r="16" spans="1:12" ht="15.5" x14ac:dyDescent="0.35">
      <c r="A16" s="32"/>
      <c r="B16" s="33" t="s">
        <v>24</v>
      </c>
      <c r="C16" s="22" t="s">
        <v>18</v>
      </c>
      <c r="D16" s="22">
        <v>8</v>
      </c>
      <c r="E16" s="23">
        <f>199709*6</f>
        <v>1198254</v>
      </c>
      <c r="F16" s="34">
        <v>2932736</v>
      </c>
      <c r="G16" s="35"/>
      <c r="H16" s="35">
        <f>183296*2*3</f>
        <v>1099776</v>
      </c>
      <c r="I16" s="31"/>
      <c r="J16" s="36">
        <f>F16</f>
        <v>2932736</v>
      </c>
      <c r="K16" s="36">
        <f t="shared" si="0"/>
        <v>0</v>
      </c>
      <c r="L16" s="37" t="s">
        <v>25</v>
      </c>
    </row>
    <row r="17" spans="1:12" ht="44.4" customHeight="1" x14ac:dyDescent="0.35">
      <c r="A17" s="38"/>
      <c r="B17" s="39"/>
      <c r="C17" s="22"/>
      <c r="D17" s="22"/>
      <c r="E17" s="23"/>
      <c r="F17" s="38"/>
      <c r="G17" s="40"/>
      <c r="H17" s="40"/>
      <c r="I17" s="41">
        <f>183296*2*4</f>
        <v>1466368</v>
      </c>
      <c r="J17" s="40"/>
      <c r="K17" s="40"/>
      <c r="L17" s="39"/>
    </row>
    <row r="18" spans="1:12" ht="70" x14ac:dyDescent="0.35">
      <c r="A18" s="14"/>
      <c r="B18" s="21" t="s">
        <v>26</v>
      </c>
      <c r="C18" s="22" t="s">
        <v>18</v>
      </c>
      <c r="D18" s="22">
        <v>7</v>
      </c>
      <c r="E18" s="23">
        <f>183296*4</f>
        <v>733184</v>
      </c>
      <c r="F18" s="23">
        <v>5200000</v>
      </c>
      <c r="G18" s="24">
        <v>0</v>
      </c>
      <c r="H18" s="24">
        <f>260000*4</f>
        <v>1040000</v>
      </c>
      <c r="I18" s="24">
        <f>260000*4*4</f>
        <v>4160000</v>
      </c>
      <c r="J18" s="25">
        <f>G18+H18+I18</f>
        <v>5200000</v>
      </c>
      <c r="K18" s="25">
        <f t="shared" ref="K18:K25" si="1">F18-J18</f>
        <v>0</v>
      </c>
      <c r="L18" s="18" t="s">
        <v>27</v>
      </c>
    </row>
    <row r="19" spans="1:12" ht="56" x14ac:dyDescent="0.35">
      <c r="A19" s="14"/>
      <c r="B19" s="21" t="s">
        <v>22</v>
      </c>
      <c r="C19" s="22" t="s">
        <v>18</v>
      </c>
      <c r="D19" s="22">
        <v>7</v>
      </c>
      <c r="E19" s="23">
        <f>183296*1</f>
        <v>183296</v>
      </c>
      <c r="F19" s="23">
        <v>3849216</v>
      </c>
      <c r="G19" s="24">
        <v>0</v>
      </c>
      <c r="H19" s="24">
        <f>183296*3*3</f>
        <v>1649664</v>
      </c>
      <c r="I19" s="24">
        <f>183296*3*4</f>
        <v>2199552</v>
      </c>
      <c r="J19" s="25">
        <f>G19+H19+I19</f>
        <v>3849216</v>
      </c>
      <c r="K19" s="25">
        <f t="shared" si="1"/>
        <v>0</v>
      </c>
      <c r="L19" s="18" t="s">
        <v>28</v>
      </c>
    </row>
    <row r="20" spans="1:12" ht="30" x14ac:dyDescent="0.35">
      <c r="A20" s="14"/>
      <c r="B20" s="19" t="s">
        <v>29</v>
      </c>
      <c r="C20" s="14" t="s">
        <v>18</v>
      </c>
      <c r="D20" s="22">
        <v>8</v>
      </c>
      <c r="E20" s="16">
        <f>F20/D20</f>
        <v>198533.375</v>
      </c>
      <c r="F20" s="20">
        <v>1588267</v>
      </c>
      <c r="G20" s="20">
        <f>81502+37794</f>
        <v>119296</v>
      </c>
      <c r="H20" s="24">
        <f>(110149+55116)*2+126133+64780</f>
        <v>521443</v>
      </c>
      <c r="I20" s="24">
        <f>154780*4+82102*4</f>
        <v>947528</v>
      </c>
      <c r="J20" s="25">
        <f>G20+H20+I20</f>
        <v>1588267</v>
      </c>
      <c r="K20" s="25">
        <f t="shared" si="1"/>
        <v>0</v>
      </c>
      <c r="L20" s="18" t="s">
        <v>30</v>
      </c>
    </row>
    <row r="21" spans="1:12" ht="30" x14ac:dyDescent="0.35">
      <c r="A21" s="14"/>
      <c r="B21" s="19" t="s">
        <v>31</v>
      </c>
      <c r="C21" s="14" t="s">
        <v>18</v>
      </c>
      <c r="D21" s="22">
        <v>8</v>
      </c>
      <c r="E21" s="16">
        <f>F21/D21</f>
        <v>64429.834999999999</v>
      </c>
      <c r="F21" s="20">
        <f>(F12-F13)*3/100+7</f>
        <v>515438.68</v>
      </c>
      <c r="G21" s="20">
        <f>(G12-G13)*3/100+1</f>
        <v>35994.28</v>
      </c>
      <c r="H21" s="24">
        <f>52491*2+61695</f>
        <v>166677</v>
      </c>
      <c r="I21" s="24">
        <f>78192*4</f>
        <v>312768</v>
      </c>
      <c r="J21" s="25">
        <f>G21+H21+I21</f>
        <v>515439.28</v>
      </c>
      <c r="K21" s="25"/>
      <c r="L21" s="18" t="s">
        <v>32</v>
      </c>
    </row>
    <row r="22" spans="1:12" ht="15.5" x14ac:dyDescent="0.35">
      <c r="A22" s="42"/>
      <c r="B22" s="19" t="s">
        <v>33</v>
      </c>
      <c r="C22" s="42" t="s">
        <v>18</v>
      </c>
      <c r="D22" s="22">
        <v>8</v>
      </c>
      <c r="E22" s="43">
        <v>1500</v>
      </c>
      <c r="F22" s="43">
        <f>D22*E22</f>
        <v>12000</v>
      </c>
      <c r="G22" s="24">
        <f>980+10+3000</f>
        <v>3990</v>
      </c>
      <c r="H22" s="24"/>
      <c r="I22" s="24">
        <v>8010</v>
      </c>
      <c r="J22" s="25">
        <f>G22+H22+I22</f>
        <v>12000</v>
      </c>
      <c r="K22" s="25">
        <f t="shared" si="1"/>
        <v>0</v>
      </c>
      <c r="L22" s="18" t="s">
        <v>34</v>
      </c>
    </row>
    <row r="23" spans="1:12" ht="90" x14ac:dyDescent="0.35">
      <c r="A23" s="14"/>
      <c r="B23" s="19" t="s">
        <v>35</v>
      </c>
      <c r="C23" s="14"/>
      <c r="D23" s="14"/>
      <c r="E23" s="20"/>
      <c r="F23" s="20">
        <v>267150</v>
      </c>
      <c r="G23" s="24"/>
      <c r="H23" s="24"/>
      <c r="I23" s="24">
        <f>229230+37920</f>
        <v>267150</v>
      </c>
      <c r="J23" s="25">
        <f>I23</f>
        <v>267150</v>
      </c>
      <c r="K23" s="25">
        <f>F23-J23</f>
        <v>0</v>
      </c>
      <c r="L23" s="18"/>
    </row>
    <row r="24" spans="1:12" ht="15.5" x14ac:dyDescent="0.35">
      <c r="A24" s="14"/>
      <c r="B24" s="21" t="s">
        <v>36</v>
      </c>
      <c r="C24" s="22" t="s">
        <v>18</v>
      </c>
      <c r="D24" s="22">
        <v>1</v>
      </c>
      <c r="E24" s="44">
        <v>387747</v>
      </c>
      <c r="F24" s="45">
        <v>267150</v>
      </c>
      <c r="G24" s="24"/>
      <c r="H24" s="24"/>
      <c r="I24" s="24">
        <f>229230+37920</f>
        <v>267150</v>
      </c>
      <c r="J24" s="25">
        <f t="shared" ref="J24:J30" si="2">G24+H24+I24</f>
        <v>267150</v>
      </c>
      <c r="K24" s="25">
        <f t="shared" si="1"/>
        <v>0</v>
      </c>
      <c r="L24" s="18" t="s">
        <v>37</v>
      </c>
    </row>
    <row r="25" spans="1:12" ht="30" x14ac:dyDescent="0.35">
      <c r="A25" s="14">
        <v>2</v>
      </c>
      <c r="B25" s="19" t="s">
        <v>38</v>
      </c>
      <c r="C25" s="14"/>
      <c r="D25" s="14"/>
      <c r="E25" s="20"/>
      <c r="F25" s="20">
        <f>SUM(F27:F30)</f>
        <v>3930710</v>
      </c>
      <c r="G25" s="20">
        <f>SUM(G27:G30)</f>
        <v>1975760</v>
      </c>
      <c r="H25" s="20">
        <f>SUM(H27:H30)</f>
        <v>1200000</v>
      </c>
      <c r="I25" s="20">
        <f>SUM(I27:I30)</f>
        <v>754950</v>
      </c>
      <c r="J25" s="17">
        <f t="shared" si="2"/>
        <v>3930710</v>
      </c>
      <c r="K25" s="17">
        <f t="shared" si="1"/>
        <v>0</v>
      </c>
      <c r="L25" s="46"/>
    </row>
    <row r="26" spans="1:12" ht="62" x14ac:dyDescent="0.35">
      <c r="A26" s="14"/>
      <c r="B26" s="21" t="s">
        <v>39</v>
      </c>
      <c r="C26" s="22"/>
      <c r="D26" s="22"/>
      <c r="E26" s="45"/>
      <c r="F26" s="45">
        <f>SUM(F27:F30)</f>
        <v>3930710</v>
      </c>
      <c r="G26" s="45">
        <f>SUM(G27:G30)</f>
        <v>1975760</v>
      </c>
      <c r="H26" s="45">
        <f>SUM(H27:H30)</f>
        <v>1200000</v>
      </c>
      <c r="I26" s="45">
        <f>I29+I30</f>
        <v>754950</v>
      </c>
      <c r="J26" s="25">
        <f t="shared" si="2"/>
        <v>3930710</v>
      </c>
      <c r="K26" s="25">
        <f>F26-J26</f>
        <v>0</v>
      </c>
      <c r="L26" s="47"/>
    </row>
    <row r="27" spans="1:12" ht="15.5" x14ac:dyDescent="0.35">
      <c r="A27" s="14"/>
      <c r="B27" s="21" t="s">
        <v>40</v>
      </c>
      <c r="C27" s="22" t="s">
        <v>41</v>
      </c>
      <c r="D27" s="22">
        <v>1</v>
      </c>
      <c r="E27" s="45">
        <v>1000000</v>
      </c>
      <c r="F27" s="45">
        <v>1200000</v>
      </c>
      <c r="G27" s="24"/>
      <c r="H27" s="24">
        <v>1200000</v>
      </c>
      <c r="I27" s="24"/>
      <c r="J27" s="25">
        <f t="shared" si="2"/>
        <v>1200000</v>
      </c>
      <c r="K27" s="25">
        <f>F27-J27</f>
        <v>0</v>
      </c>
      <c r="L27" s="47"/>
    </row>
    <row r="28" spans="1:12" ht="15.5" x14ac:dyDescent="0.35">
      <c r="A28" s="14"/>
      <c r="B28" s="21" t="s">
        <v>42</v>
      </c>
      <c r="C28" s="22" t="s">
        <v>41</v>
      </c>
      <c r="D28" s="22">
        <v>8</v>
      </c>
      <c r="E28" s="45">
        <v>378125</v>
      </c>
      <c r="F28" s="45">
        <f>1974960+800</f>
        <v>1975760</v>
      </c>
      <c r="G28" s="24">
        <v>1975760</v>
      </c>
      <c r="H28" s="24"/>
      <c r="I28" s="24"/>
      <c r="J28" s="25">
        <f t="shared" si="2"/>
        <v>1975760</v>
      </c>
      <c r="K28" s="25">
        <f>F28-J28</f>
        <v>0</v>
      </c>
      <c r="L28" s="47"/>
    </row>
    <row r="29" spans="1:12" ht="70" x14ac:dyDescent="0.35">
      <c r="A29" s="14"/>
      <c r="B29" s="21" t="s">
        <v>43</v>
      </c>
      <c r="C29" s="22"/>
      <c r="D29" s="22"/>
      <c r="E29" s="45"/>
      <c r="F29" s="45">
        <v>665000</v>
      </c>
      <c r="G29" s="24"/>
      <c r="H29" s="24"/>
      <c r="I29" s="24">
        <v>665000</v>
      </c>
      <c r="J29" s="25">
        <f t="shared" si="2"/>
        <v>665000</v>
      </c>
      <c r="K29" s="25">
        <f>F29-J29</f>
        <v>0</v>
      </c>
      <c r="L29" s="47" t="s">
        <v>44</v>
      </c>
    </row>
    <row r="30" spans="1:12" ht="15.5" x14ac:dyDescent="0.35">
      <c r="A30" s="14"/>
      <c r="B30" s="21" t="s">
        <v>45</v>
      </c>
      <c r="C30" s="22"/>
      <c r="D30" s="22"/>
      <c r="E30" s="45"/>
      <c r="F30" s="45">
        <v>89950</v>
      </c>
      <c r="G30" s="24"/>
      <c r="H30" s="24"/>
      <c r="I30" s="24">
        <v>89950</v>
      </c>
      <c r="J30" s="25">
        <f t="shared" si="2"/>
        <v>89950</v>
      </c>
      <c r="K30" s="25">
        <f>F30-J30</f>
        <v>0</v>
      </c>
      <c r="L30" s="47" t="s">
        <v>46</v>
      </c>
    </row>
    <row r="31" spans="1:12" ht="15" x14ac:dyDescent="0.35">
      <c r="A31" s="14">
        <v>3</v>
      </c>
      <c r="B31" s="19" t="s">
        <v>47</v>
      </c>
      <c r="C31" s="14"/>
      <c r="D31" s="14"/>
      <c r="E31" s="16"/>
      <c r="F31" s="16">
        <f>F32+F57</f>
        <v>20405378</v>
      </c>
      <c r="G31" s="16">
        <f t="shared" ref="G31:J31" si="3">G32+G57</f>
        <v>1690000</v>
      </c>
      <c r="H31" s="16">
        <f t="shared" si="3"/>
        <v>3979508</v>
      </c>
      <c r="I31" s="16">
        <f t="shared" si="3"/>
        <v>12185893</v>
      </c>
      <c r="J31" s="20">
        <f t="shared" si="3"/>
        <v>17855401</v>
      </c>
      <c r="K31" s="20">
        <f>K32+K59+K57</f>
        <v>2549977</v>
      </c>
      <c r="L31" s="18"/>
    </row>
    <row r="32" spans="1:12" ht="60" x14ac:dyDescent="0.35">
      <c r="A32" s="14"/>
      <c r="B32" s="15" t="s">
        <v>48</v>
      </c>
      <c r="C32" s="14"/>
      <c r="D32" s="14"/>
      <c r="E32" s="16"/>
      <c r="F32" s="20">
        <f>F37+F47+F33</f>
        <v>20155378</v>
      </c>
      <c r="G32" s="20">
        <f>G37+G47</f>
        <v>1690000</v>
      </c>
      <c r="H32" s="20">
        <f>H37+H47</f>
        <v>3979508</v>
      </c>
      <c r="I32" s="20">
        <f>I37+I47+I33</f>
        <v>11935893</v>
      </c>
      <c r="J32" s="20">
        <f>J37+J47+J33</f>
        <v>17605401</v>
      </c>
      <c r="K32" s="20">
        <f>K37+K47+K33</f>
        <v>2549977</v>
      </c>
      <c r="L32" s="18"/>
    </row>
    <row r="33" spans="1:12" ht="30" x14ac:dyDescent="0.35">
      <c r="A33" s="14"/>
      <c r="B33" s="19" t="s">
        <v>49</v>
      </c>
      <c r="C33" s="14"/>
      <c r="D33" s="14"/>
      <c r="E33" s="16"/>
      <c r="F33" s="20">
        <f>SUM(F34:F36)</f>
        <v>118886</v>
      </c>
      <c r="G33" s="20">
        <f>SUM(G34:G36)</f>
        <v>0</v>
      </c>
      <c r="H33" s="20">
        <f>SUM(H34:H36)</f>
        <v>0</v>
      </c>
      <c r="I33" s="20">
        <f>SUM(I34:I36)</f>
        <v>118886</v>
      </c>
      <c r="J33" s="25">
        <f>G33+H33+I33</f>
        <v>118886</v>
      </c>
      <c r="K33" s="25">
        <f>F33-I33</f>
        <v>0</v>
      </c>
      <c r="L33" s="18"/>
    </row>
    <row r="34" spans="1:12" ht="15.5" x14ac:dyDescent="0.35">
      <c r="A34" s="14"/>
      <c r="B34" s="21" t="s">
        <v>50</v>
      </c>
      <c r="C34" s="14"/>
      <c r="D34" s="14"/>
      <c r="E34" s="16"/>
      <c r="F34" s="45">
        <v>28023</v>
      </c>
      <c r="G34" s="20"/>
      <c r="H34" s="24"/>
      <c r="I34" s="24">
        <v>28023</v>
      </c>
      <c r="J34" s="25">
        <f>G34+H34+I34</f>
        <v>28023</v>
      </c>
      <c r="K34" s="25">
        <f>F34-I34</f>
        <v>0</v>
      </c>
      <c r="L34" s="18" t="s">
        <v>51</v>
      </c>
    </row>
    <row r="35" spans="1:12" ht="15.5" x14ac:dyDescent="0.35">
      <c r="A35" s="14"/>
      <c r="B35" s="21" t="s">
        <v>52</v>
      </c>
      <c r="C35" s="14"/>
      <c r="D35" s="14"/>
      <c r="E35" s="16"/>
      <c r="F35" s="45">
        <v>53840</v>
      </c>
      <c r="G35" s="20"/>
      <c r="H35" s="24"/>
      <c r="I35" s="24">
        <f>28471+25369</f>
        <v>53840</v>
      </c>
      <c r="J35" s="25">
        <f>G35+H35+I35</f>
        <v>53840</v>
      </c>
      <c r="K35" s="25">
        <f>F35-I35</f>
        <v>0</v>
      </c>
      <c r="L35" s="18" t="s">
        <v>51</v>
      </c>
    </row>
    <row r="36" spans="1:12" ht="15.5" x14ac:dyDescent="0.35">
      <c r="A36" s="14"/>
      <c r="B36" s="21" t="s">
        <v>53</v>
      </c>
      <c r="C36" s="14"/>
      <c r="D36" s="14"/>
      <c r="E36" s="16"/>
      <c r="F36" s="45">
        <v>37023</v>
      </c>
      <c r="G36" s="20"/>
      <c r="H36" s="24"/>
      <c r="I36" s="24">
        <v>37023</v>
      </c>
      <c r="J36" s="25">
        <f>G36+H36+I36</f>
        <v>37023</v>
      </c>
      <c r="K36" s="25">
        <f>F36-I36</f>
        <v>0</v>
      </c>
      <c r="L36" s="18" t="s">
        <v>54</v>
      </c>
    </row>
    <row r="37" spans="1:12" ht="60" x14ac:dyDescent="0.35">
      <c r="A37" s="14"/>
      <c r="B37" s="19" t="s">
        <v>55</v>
      </c>
      <c r="C37" s="14"/>
      <c r="D37" s="14"/>
      <c r="E37" s="16"/>
      <c r="F37" s="20">
        <f t="shared" ref="F37:K37" si="4">SUM(F38:F46)</f>
        <v>8640000</v>
      </c>
      <c r="G37" s="20">
        <f t="shared" si="4"/>
        <v>590000</v>
      </c>
      <c r="H37" s="20">
        <f t="shared" si="4"/>
        <v>2090000</v>
      </c>
      <c r="I37" s="20">
        <f t="shared" si="4"/>
        <v>3410023</v>
      </c>
      <c r="J37" s="20">
        <f t="shared" si="4"/>
        <v>6090023</v>
      </c>
      <c r="K37" s="20">
        <f t="shared" si="4"/>
        <v>2549977</v>
      </c>
      <c r="L37" s="18"/>
    </row>
    <row r="38" spans="1:12" ht="42" x14ac:dyDescent="0.35">
      <c r="A38" s="32"/>
      <c r="B38" s="33" t="s">
        <v>56</v>
      </c>
      <c r="C38" s="22" t="s">
        <v>18</v>
      </c>
      <c r="D38" s="22">
        <v>8</v>
      </c>
      <c r="E38" s="23">
        <f>3*150000</f>
        <v>450000</v>
      </c>
      <c r="F38" s="34">
        <v>2400000</v>
      </c>
      <c r="G38" s="35">
        <v>450000</v>
      </c>
      <c r="H38" s="35">
        <f>150000*2*3</f>
        <v>900000</v>
      </c>
      <c r="I38" s="31">
        <v>1050000</v>
      </c>
      <c r="J38" s="36">
        <f>G38+H38+I38</f>
        <v>2400000</v>
      </c>
      <c r="K38" s="36">
        <f>F38-J38</f>
        <v>0</v>
      </c>
      <c r="L38" s="18" t="s">
        <v>57</v>
      </c>
    </row>
    <row r="39" spans="1:12" ht="15.5" hidden="1" x14ac:dyDescent="0.35">
      <c r="A39" s="48"/>
      <c r="B39" s="49"/>
      <c r="C39" s="22"/>
      <c r="D39" s="22"/>
      <c r="E39" s="23"/>
      <c r="F39" s="48"/>
      <c r="G39" s="50"/>
      <c r="H39" s="50"/>
      <c r="I39" s="51"/>
      <c r="J39" s="50"/>
      <c r="K39" s="50"/>
      <c r="L39" s="18"/>
    </row>
    <row r="40" spans="1:12" ht="15.5" hidden="1" x14ac:dyDescent="0.35">
      <c r="A40" s="38"/>
      <c r="B40" s="39"/>
      <c r="C40" s="22"/>
      <c r="D40" s="22"/>
      <c r="E40" s="23"/>
      <c r="F40" s="38"/>
      <c r="G40" s="40"/>
      <c r="H40" s="40"/>
      <c r="I40" s="41"/>
      <c r="J40" s="40"/>
      <c r="K40" s="40"/>
      <c r="L40" s="18"/>
    </row>
    <row r="41" spans="1:12" ht="56" x14ac:dyDescent="0.35">
      <c r="A41" s="14"/>
      <c r="B41" s="21" t="s">
        <v>95</v>
      </c>
      <c r="C41" s="22" t="s">
        <v>18</v>
      </c>
      <c r="D41" s="22">
        <v>7</v>
      </c>
      <c r="E41" s="23">
        <f>7*130000</f>
        <v>910000</v>
      </c>
      <c r="F41" s="23">
        <v>2700000</v>
      </c>
      <c r="G41" s="24"/>
      <c r="H41" s="24">
        <v>150000</v>
      </c>
      <c r="I41" s="24">
        <v>23</v>
      </c>
      <c r="J41" s="25">
        <f>H41+I41</f>
        <v>150023</v>
      </c>
      <c r="K41" s="25">
        <f t="shared" ref="K41:K45" si="5">F41-J41</f>
        <v>2549977</v>
      </c>
      <c r="L41" s="18" t="s">
        <v>58</v>
      </c>
    </row>
    <row r="42" spans="1:12" ht="42" x14ac:dyDescent="0.35">
      <c r="A42" s="14"/>
      <c r="B42" s="21" t="s">
        <v>59</v>
      </c>
      <c r="C42" s="22"/>
      <c r="D42" s="22"/>
      <c r="E42" s="23"/>
      <c r="F42" s="23">
        <v>650000</v>
      </c>
      <c r="G42" s="24"/>
      <c r="H42" s="24">
        <v>130000</v>
      </c>
      <c r="I42" s="24">
        <f>130000*4</f>
        <v>520000</v>
      </c>
      <c r="J42" s="25">
        <f>H42+I42</f>
        <v>650000</v>
      </c>
      <c r="K42" s="25">
        <f t="shared" si="5"/>
        <v>0</v>
      </c>
      <c r="L42" s="18" t="s">
        <v>60</v>
      </c>
    </row>
    <row r="43" spans="1:12" ht="42" x14ac:dyDescent="0.35">
      <c r="A43" s="14"/>
      <c r="B43" s="21" t="s">
        <v>61</v>
      </c>
      <c r="C43" s="22"/>
      <c r="D43" s="22"/>
      <c r="E43" s="23"/>
      <c r="F43" s="23">
        <v>750000</v>
      </c>
      <c r="G43" s="24"/>
      <c r="H43" s="24">
        <v>150000</v>
      </c>
      <c r="I43" s="24">
        <f>150000*4</f>
        <v>600000</v>
      </c>
      <c r="J43" s="25">
        <f>H43+I43</f>
        <v>750000</v>
      </c>
      <c r="K43" s="25">
        <f t="shared" si="5"/>
        <v>0</v>
      </c>
      <c r="L43" s="18" t="s">
        <v>62</v>
      </c>
    </row>
    <row r="44" spans="1:12" ht="42" x14ac:dyDescent="0.35">
      <c r="A44" s="14"/>
      <c r="B44" s="21" t="s">
        <v>63</v>
      </c>
      <c r="C44" s="22" t="s">
        <v>18</v>
      </c>
      <c r="D44" s="22">
        <v>7</v>
      </c>
      <c r="E44" s="23">
        <f>170000</f>
        <v>170000</v>
      </c>
      <c r="F44" s="23">
        <v>1020000</v>
      </c>
      <c r="G44" s="24"/>
      <c r="H44" s="24">
        <f>170000*2</f>
        <v>340000</v>
      </c>
      <c r="I44" s="24">
        <f>170000*4</f>
        <v>680000</v>
      </c>
      <c r="J44" s="25">
        <f>H44+I44</f>
        <v>1020000</v>
      </c>
      <c r="K44" s="25">
        <f t="shared" si="5"/>
        <v>0</v>
      </c>
      <c r="L44" s="18" t="s">
        <v>64</v>
      </c>
    </row>
    <row r="45" spans="1:12" ht="56" x14ac:dyDescent="0.35">
      <c r="A45" s="32"/>
      <c r="B45" s="33" t="s">
        <v>65</v>
      </c>
      <c r="C45" s="22" t="s">
        <v>18</v>
      </c>
      <c r="D45" s="22">
        <v>8</v>
      </c>
      <c r="E45" s="23">
        <f>70000*2</f>
        <v>140000</v>
      </c>
      <c r="F45" s="34">
        <f>D45*E45</f>
        <v>1120000</v>
      </c>
      <c r="G45" s="35">
        <f>70000*2</f>
        <v>140000</v>
      </c>
      <c r="H45" s="35">
        <f>70000*2*3</f>
        <v>420000</v>
      </c>
      <c r="I45" s="31">
        <f>70000*8</f>
        <v>560000</v>
      </c>
      <c r="J45" s="36">
        <f>G45+H45+I45</f>
        <v>1120000</v>
      </c>
      <c r="K45" s="36">
        <f t="shared" si="5"/>
        <v>0</v>
      </c>
      <c r="L45" s="18" t="s">
        <v>66</v>
      </c>
    </row>
    <row r="46" spans="1:12" ht="56" x14ac:dyDescent="0.35">
      <c r="A46" s="38"/>
      <c r="B46" s="39"/>
      <c r="C46" s="22"/>
      <c r="D46" s="22"/>
      <c r="E46" s="23"/>
      <c r="F46" s="38"/>
      <c r="G46" s="40"/>
      <c r="H46" s="40"/>
      <c r="I46" s="41"/>
      <c r="J46" s="40"/>
      <c r="K46" s="40"/>
      <c r="L46" s="18" t="s">
        <v>67</v>
      </c>
    </row>
    <row r="47" spans="1:12" ht="30" x14ac:dyDescent="0.35">
      <c r="A47" s="14"/>
      <c r="B47" s="19" t="s">
        <v>68</v>
      </c>
      <c r="C47" s="14"/>
      <c r="D47" s="14"/>
      <c r="E47" s="16"/>
      <c r="F47" s="20">
        <f t="shared" ref="F47:K47" si="6">SUM(F48:F56)</f>
        <v>11396492</v>
      </c>
      <c r="G47" s="20">
        <f t="shared" si="6"/>
        <v>1100000</v>
      </c>
      <c r="H47" s="20">
        <f t="shared" si="6"/>
        <v>1889508</v>
      </c>
      <c r="I47" s="20">
        <f t="shared" si="6"/>
        <v>8406984</v>
      </c>
      <c r="J47" s="20">
        <f>SUM(J48:J56)</f>
        <v>11396492</v>
      </c>
      <c r="K47" s="20">
        <f t="shared" si="6"/>
        <v>0</v>
      </c>
      <c r="L47" s="18"/>
    </row>
    <row r="48" spans="1:12" ht="15.5" x14ac:dyDescent="0.35">
      <c r="A48" s="14"/>
      <c r="B48" s="21" t="s">
        <v>69</v>
      </c>
      <c r="C48" s="22" t="s">
        <v>70</v>
      </c>
      <c r="D48" s="22">
        <v>9</v>
      </c>
      <c r="E48" s="23">
        <v>300000</v>
      </c>
      <c r="F48" s="23">
        <v>2700000</v>
      </c>
      <c r="G48" s="24">
        <f>300000*2</f>
        <v>600000</v>
      </c>
      <c r="H48" s="24">
        <f>300000*3</f>
        <v>900000</v>
      </c>
      <c r="I48" s="24">
        <f>300000*3+300000</f>
        <v>1200000</v>
      </c>
      <c r="J48" s="25">
        <f t="shared" ref="J48:J56" si="7">G48+H48+I48</f>
        <v>2700000</v>
      </c>
      <c r="K48" s="25">
        <f t="shared" ref="K48:K56" si="8">F48-J48</f>
        <v>0</v>
      </c>
      <c r="L48" s="47" t="s">
        <v>71</v>
      </c>
    </row>
    <row r="49" spans="1:13" ht="31" x14ac:dyDescent="0.35">
      <c r="A49" s="14"/>
      <c r="B49" s="21" t="s">
        <v>72</v>
      </c>
      <c r="C49" s="22"/>
      <c r="D49" s="22"/>
      <c r="E49" s="23"/>
      <c r="F49" s="23">
        <v>280000</v>
      </c>
      <c r="G49" s="24"/>
      <c r="H49" s="24">
        <f>43035-168</f>
        <v>42867</v>
      </c>
      <c r="I49" s="24">
        <v>237133</v>
      </c>
      <c r="J49" s="25">
        <f t="shared" si="7"/>
        <v>280000</v>
      </c>
      <c r="K49" s="25">
        <f t="shared" si="8"/>
        <v>0</v>
      </c>
      <c r="L49" s="47" t="s">
        <v>71</v>
      </c>
    </row>
    <row r="50" spans="1:13" ht="28" x14ac:dyDescent="0.35">
      <c r="A50" s="14"/>
      <c r="B50" s="21" t="s">
        <v>73</v>
      </c>
      <c r="C50" s="22" t="s">
        <v>70</v>
      </c>
      <c r="D50" s="22">
        <v>9</v>
      </c>
      <c r="E50" s="23">
        <v>250000</v>
      </c>
      <c r="F50" s="23">
        <v>2250000</v>
      </c>
      <c r="G50" s="24">
        <f>250000*2</f>
        <v>500000</v>
      </c>
      <c r="H50" s="24">
        <f>250000*3</f>
        <v>750000</v>
      </c>
      <c r="I50" s="24">
        <f>250000*2+250000*2</f>
        <v>1000000</v>
      </c>
      <c r="J50" s="25">
        <f t="shared" si="7"/>
        <v>2250000</v>
      </c>
      <c r="K50" s="25">
        <f t="shared" si="8"/>
        <v>0</v>
      </c>
      <c r="L50" s="18" t="s">
        <v>74</v>
      </c>
    </row>
    <row r="51" spans="1:13" ht="31" x14ac:dyDescent="0.35">
      <c r="A51" s="14"/>
      <c r="B51" s="21" t="s">
        <v>75</v>
      </c>
      <c r="C51" s="22"/>
      <c r="D51" s="22"/>
      <c r="E51" s="23"/>
      <c r="F51" s="23">
        <v>280000</v>
      </c>
      <c r="G51" s="24"/>
      <c r="H51" s="24">
        <v>196641</v>
      </c>
      <c r="I51" s="24">
        <f>78945+4414</f>
        <v>83359</v>
      </c>
      <c r="J51" s="25">
        <f t="shared" si="7"/>
        <v>280000</v>
      </c>
      <c r="K51" s="25">
        <f t="shared" si="8"/>
        <v>0</v>
      </c>
      <c r="L51" s="18" t="s">
        <v>74</v>
      </c>
    </row>
    <row r="52" spans="1:13" ht="42" x14ac:dyDescent="0.35">
      <c r="A52" s="14"/>
      <c r="B52" s="21" t="s">
        <v>96</v>
      </c>
      <c r="C52" s="22"/>
      <c r="D52" s="22"/>
      <c r="E52" s="23"/>
      <c r="F52" s="23">
        <v>346760</v>
      </c>
      <c r="G52" s="24"/>
      <c r="H52" s="24"/>
      <c r="I52" s="24">
        <f>25000+70000+122360+39400+90000</f>
        <v>346760</v>
      </c>
      <c r="J52" s="25">
        <f>I52</f>
        <v>346760</v>
      </c>
      <c r="K52" s="25">
        <f t="shared" si="8"/>
        <v>0</v>
      </c>
      <c r="L52" s="18" t="s">
        <v>76</v>
      </c>
    </row>
    <row r="53" spans="1:13" ht="46.5" x14ac:dyDescent="0.35">
      <c r="A53" s="14"/>
      <c r="B53" s="21" t="s">
        <v>77</v>
      </c>
      <c r="C53" s="22"/>
      <c r="D53" s="22"/>
      <c r="E53" s="23"/>
      <c r="F53" s="23">
        <v>1309000</v>
      </c>
      <c r="G53" s="24"/>
      <c r="H53" s="24"/>
      <c r="I53" s="24">
        <f>1100000+19%*1100000</f>
        <v>1309000</v>
      </c>
      <c r="J53" s="25">
        <f>I53</f>
        <v>1309000</v>
      </c>
      <c r="K53" s="25">
        <f t="shared" si="8"/>
        <v>0</v>
      </c>
      <c r="L53" s="18"/>
    </row>
    <row r="54" spans="1:13" ht="15.5" x14ac:dyDescent="0.35">
      <c r="A54" s="14"/>
      <c r="B54" s="21" t="s">
        <v>78</v>
      </c>
      <c r="C54" s="22"/>
      <c r="D54" s="22"/>
      <c r="E54" s="23"/>
      <c r="F54" s="23">
        <v>3515232</v>
      </c>
      <c r="G54" s="24"/>
      <c r="H54" s="24"/>
      <c r="I54" s="24">
        <v>3515232</v>
      </c>
      <c r="J54" s="25">
        <f>I54</f>
        <v>3515232</v>
      </c>
      <c r="K54" s="25">
        <f t="shared" si="8"/>
        <v>0</v>
      </c>
      <c r="L54" s="18"/>
    </row>
    <row r="55" spans="1:13" ht="42" x14ac:dyDescent="0.35">
      <c r="A55" s="14"/>
      <c r="B55" s="21" t="s">
        <v>79</v>
      </c>
      <c r="C55" s="22" t="s">
        <v>70</v>
      </c>
      <c r="D55" s="22">
        <v>1000</v>
      </c>
      <c r="E55" s="23">
        <v>450</v>
      </c>
      <c r="F55" s="23">
        <v>570000</v>
      </c>
      <c r="G55" s="24"/>
      <c r="H55" s="24"/>
      <c r="I55" s="24">
        <f>380000+190000</f>
        <v>570000</v>
      </c>
      <c r="J55" s="25">
        <f t="shared" si="7"/>
        <v>570000</v>
      </c>
      <c r="K55" s="25">
        <f t="shared" si="8"/>
        <v>0</v>
      </c>
      <c r="L55" s="18" t="s">
        <v>80</v>
      </c>
    </row>
    <row r="56" spans="1:13" ht="42" x14ac:dyDescent="0.35">
      <c r="A56" s="14"/>
      <c r="B56" s="21" t="s">
        <v>81</v>
      </c>
      <c r="C56" s="22" t="s">
        <v>70</v>
      </c>
      <c r="D56" s="22">
        <v>5</v>
      </c>
      <c r="E56" s="23">
        <v>15000</v>
      </c>
      <c r="F56" s="23">
        <v>145500</v>
      </c>
      <c r="G56" s="24"/>
      <c r="H56" s="24"/>
      <c r="I56" s="24">
        <f>49500+96000</f>
        <v>145500</v>
      </c>
      <c r="J56" s="25">
        <f t="shared" si="7"/>
        <v>145500</v>
      </c>
      <c r="K56" s="25">
        <f t="shared" si="8"/>
        <v>0</v>
      </c>
      <c r="L56" s="18" t="s">
        <v>82</v>
      </c>
    </row>
    <row r="57" spans="1:13" ht="30" x14ac:dyDescent="0.35">
      <c r="A57" s="14"/>
      <c r="B57" s="15" t="s">
        <v>83</v>
      </c>
      <c r="C57" s="14"/>
      <c r="D57" s="14"/>
      <c r="E57" s="16"/>
      <c r="F57" s="16">
        <f>F58</f>
        <v>250000</v>
      </c>
      <c r="G57" s="16">
        <f t="shared" ref="G57:K57" si="9">G58</f>
        <v>0</v>
      </c>
      <c r="H57" s="16">
        <f t="shared" si="9"/>
        <v>0</v>
      </c>
      <c r="I57" s="16">
        <f t="shared" si="9"/>
        <v>250000</v>
      </c>
      <c r="J57" s="20">
        <f t="shared" si="9"/>
        <v>250000</v>
      </c>
      <c r="K57" s="16">
        <f t="shared" si="9"/>
        <v>0</v>
      </c>
      <c r="L57" s="18"/>
    </row>
    <row r="58" spans="1:13" ht="60" x14ac:dyDescent="0.35">
      <c r="A58" s="52"/>
      <c r="B58" s="19" t="s">
        <v>84</v>
      </c>
      <c r="C58" s="21"/>
      <c r="D58" s="22"/>
      <c r="E58" s="22"/>
      <c r="F58" s="20">
        <f t="shared" ref="F58:K58" si="10">F59</f>
        <v>250000</v>
      </c>
      <c r="G58" s="20">
        <f t="shared" si="10"/>
        <v>0</v>
      </c>
      <c r="H58" s="20">
        <v>0</v>
      </c>
      <c r="I58" s="20">
        <f t="shared" si="10"/>
        <v>250000</v>
      </c>
      <c r="J58" s="20">
        <f t="shared" si="10"/>
        <v>250000</v>
      </c>
      <c r="K58" s="20">
        <f t="shared" si="10"/>
        <v>0</v>
      </c>
      <c r="L58" s="25"/>
      <c r="M58" s="53"/>
    </row>
    <row r="59" spans="1:13" ht="45" customHeight="1" x14ac:dyDescent="0.35">
      <c r="A59" s="52"/>
      <c r="B59" s="21" t="s">
        <v>97</v>
      </c>
      <c r="C59" s="15" t="s">
        <v>85</v>
      </c>
      <c r="D59" s="14"/>
      <c r="E59" s="14"/>
      <c r="F59" s="45">
        <v>250000</v>
      </c>
      <c r="G59" s="20"/>
      <c r="H59" s="20">
        <v>0</v>
      </c>
      <c r="I59" s="20">
        <v>250000</v>
      </c>
      <c r="J59" s="25">
        <f>I59</f>
        <v>250000</v>
      </c>
      <c r="K59" s="25">
        <f>F59-J59</f>
        <v>0</v>
      </c>
      <c r="L59" s="25"/>
      <c r="M59" s="53"/>
    </row>
    <row r="60" spans="1:13" ht="20" x14ac:dyDescent="0.4">
      <c r="A60" s="54"/>
      <c r="B60" s="55" t="s">
        <v>86</v>
      </c>
      <c r="C60" s="56"/>
      <c r="D60" s="56"/>
      <c r="E60" s="57"/>
      <c r="F60" s="58">
        <f>F11+F31+F25</f>
        <v>45499999.68</v>
      </c>
      <c r="G60" s="59">
        <f>G11+G25+G31</f>
        <v>5224816.28</v>
      </c>
      <c r="H60" s="59">
        <f>H11+H25+H31</f>
        <v>12023436</v>
      </c>
      <c r="I60" s="59">
        <f>I11+I25+I31</f>
        <v>25701771</v>
      </c>
      <c r="J60" s="25">
        <f>G60+H60+I60</f>
        <v>42950023.280000001</v>
      </c>
      <c r="K60" s="25">
        <v>0</v>
      </c>
      <c r="L60" s="18"/>
    </row>
    <row r="61" spans="1:13" ht="15" x14ac:dyDescent="0.35">
      <c r="B61" s="60"/>
    </row>
    <row r="62" spans="1:13" ht="15" x14ac:dyDescent="0.35">
      <c r="A62" s="61" t="s">
        <v>87</v>
      </c>
      <c r="D62" s="61" t="s">
        <v>88</v>
      </c>
      <c r="F62" t="s">
        <v>88</v>
      </c>
      <c r="H62" s="62"/>
      <c r="I62" s="62"/>
    </row>
    <row r="64" spans="1:13" ht="15" x14ac:dyDescent="0.35">
      <c r="B64" s="60"/>
    </row>
    <row r="65" spans="1:6" ht="15" x14ac:dyDescent="0.35">
      <c r="A65" s="61" t="s">
        <v>89</v>
      </c>
      <c r="D65" s="61" t="s">
        <v>90</v>
      </c>
      <c r="F65" t="s">
        <v>90</v>
      </c>
    </row>
    <row r="67" spans="1:6" ht="15" x14ac:dyDescent="0.35">
      <c r="A67" s="61" t="s">
        <v>91</v>
      </c>
      <c r="B67" t="s">
        <v>92</v>
      </c>
    </row>
    <row r="68" spans="1:6" ht="15" x14ac:dyDescent="0.35">
      <c r="B68" s="60"/>
    </row>
    <row r="69" spans="1:6" ht="15" x14ac:dyDescent="0.35">
      <c r="A69" s="61" t="s">
        <v>93</v>
      </c>
    </row>
    <row r="70" spans="1:6" ht="15" x14ac:dyDescent="0.35">
      <c r="B70" s="61" t="s">
        <v>94</v>
      </c>
    </row>
    <row r="71" spans="1:6" ht="15.5" x14ac:dyDescent="0.35">
      <c r="A71" s="63"/>
    </row>
  </sheetData>
  <mergeCells count="27">
    <mergeCell ref="K45:K46"/>
    <mergeCell ref="A45:A46"/>
    <mergeCell ref="B45:B46"/>
    <mergeCell ref="F45:F46"/>
    <mergeCell ref="G45:G46"/>
    <mergeCell ref="H45:H46"/>
    <mergeCell ref="J45:J46"/>
    <mergeCell ref="J16:J17"/>
    <mergeCell ref="K16:K17"/>
    <mergeCell ref="L16:L17"/>
    <mergeCell ref="A38:A40"/>
    <mergeCell ref="B38:B40"/>
    <mergeCell ref="F38:F40"/>
    <mergeCell ref="G38:G40"/>
    <mergeCell ref="H38:H40"/>
    <mergeCell ref="J38:J40"/>
    <mergeCell ref="K38:K40"/>
    <mergeCell ref="A2:L2"/>
    <mergeCell ref="A4:L4"/>
    <mergeCell ref="A6:L6"/>
    <mergeCell ref="A7:L7"/>
    <mergeCell ref="A8:L8"/>
    <mergeCell ref="A16:A17"/>
    <mergeCell ref="B16:B17"/>
    <mergeCell ref="F16:F17"/>
    <mergeCell ref="G16:G17"/>
    <mergeCell ref="H16:H17"/>
  </mergeCells>
  <pageMargins left="0.7" right="0.7" top="0.75" bottom="0.75" header="0.3" footer="0.3"/>
  <pageSetup paperSize="9" scale="6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3 (2)</vt:lpstr>
      <vt:lpstr>'отчет 3 (2)'!_Hlk32248595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2023-12-20T04:25:33Z</dcterms:created>
  <dcterms:modified xsi:type="dcterms:W3CDTF">2023-12-20T09:46:36Z</dcterms:modified>
</cp:coreProperties>
</file>