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defaultThemeVersion="124226"/>
  <xr:revisionPtr revIDLastSave="0" documentId="13_ncr:1_{187C6F13-327B-470A-AFA5-E8CBECF3773E}" xr6:coauthVersionLast="45" xr6:coauthVersionMax="45" xr10:uidLastSave="{00000000-0000-0000-0000-000000000000}"/>
  <bookViews>
    <workbookView xWindow="-120" yWindow="-120" windowWidth="20730" windowHeight="11160" firstSheet="1" activeTab="7" xr2:uid="{00000000-000D-0000-FFFF-FFFF00000000}"/>
  </bookViews>
  <sheets>
    <sheet name="2020 смета ГЦ" sheetId="3" r:id="rId1"/>
    <sheet name="ЗП 2020" sheetId="4" r:id="rId2"/>
    <sheet name="2020 смета ГЦ (2)" sheetId="5" r:id="rId3"/>
    <sheet name="Отчет №1" sheetId="6" r:id="rId4"/>
    <sheet name="Отчет №2 (2)" sheetId="8" r:id="rId5"/>
    <sheet name="Отчет №3" sheetId="9" r:id="rId6"/>
    <sheet name="Отчет №4" sheetId="10" r:id="rId7"/>
    <sheet name="Отчет №5" sheetId="7" r:id="rId8"/>
  </sheets>
  <externalReferences>
    <externalReference r:id="rId9"/>
  </externalReferences>
  <definedNames>
    <definedName name="_xlnm.Print_Area" localSheetId="0">'2020 смета ГЦ'!$A$1:$I$62</definedName>
    <definedName name="_xlnm.Print_Area" localSheetId="2">'2020 смета ГЦ (2)'!$A$1:$I$62</definedName>
    <definedName name="_xlnm.Print_Area" localSheetId="7">'Отчет №5'!$A$1:$L$51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0" l="1"/>
  <c r="H48" i="10"/>
  <c r="C48" i="10"/>
  <c r="I48" i="10" s="1"/>
  <c r="G47" i="10"/>
  <c r="H47" i="10" s="1"/>
  <c r="C47" i="10"/>
  <c r="H46" i="10"/>
  <c r="C46" i="10"/>
  <c r="I46" i="10" s="1"/>
  <c r="H45" i="10"/>
  <c r="C45" i="10"/>
  <c r="I45" i="10" s="1"/>
  <c r="H44" i="10"/>
  <c r="C44" i="10"/>
  <c r="I44" i="10" s="1"/>
  <c r="H43" i="10"/>
  <c r="C43" i="10"/>
  <c r="I43" i="10" s="1"/>
  <c r="H42" i="10"/>
  <c r="C42" i="10"/>
  <c r="I42" i="10" s="1"/>
  <c r="H41" i="10"/>
  <c r="C41" i="10"/>
  <c r="I41" i="10" s="1"/>
  <c r="H40" i="10"/>
  <c r="C40" i="10"/>
  <c r="I40" i="10" s="1"/>
  <c r="H39" i="10"/>
  <c r="C39" i="10"/>
  <c r="I39" i="10" s="1"/>
  <c r="H38" i="10"/>
  <c r="C38" i="10"/>
  <c r="I38" i="10" s="1"/>
  <c r="H37" i="10"/>
  <c r="C37" i="10"/>
  <c r="I37" i="10" s="1"/>
  <c r="H36" i="10"/>
  <c r="C36" i="10"/>
  <c r="I36" i="10" s="1"/>
  <c r="H35" i="10"/>
  <c r="C35" i="10"/>
  <c r="I35" i="10" s="1"/>
  <c r="H34" i="10"/>
  <c r="C34" i="10"/>
  <c r="I34" i="10" s="1"/>
  <c r="G33" i="10"/>
  <c r="H33" i="10" s="1"/>
  <c r="C33" i="10"/>
  <c r="C32" i="10"/>
  <c r="C31" i="10"/>
  <c r="H30" i="10"/>
  <c r="C30" i="10"/>
  <c r="I30" i="10" s="1"/>
  <c r="H29" i="10"/>
  <c r="C29" i="10"/>
  <c r="I29" i="10" s="1"/>
  <c r="H28" i="10"/>
  <c r="C28" i="10"/>
  <c r="I28" i="10" s="1"/>
  <c r="H27" i="10"/>
  <c r="C27" i="10"/>
  <c r="I27" i="10" s="1"/>
  <c r="H26" i="10"/>
  <c r="C26" i="10"/>
  <c r="I26" i="10" s="1"/>
  <c r="H25" i="10"/>
  <c r="C25" i="10"/>
  <c r="I25" i="10" s="1"/>
  <c r="G24" i="10"/>
  <c r="H24" i="10" s="1"/>
  <c r="C24" i="10"/>
  <c r="G23" i="10"/>
  <c r="H23" i="10" s="1"/>
  <c r="C23" i="10"/>
  <c r="H22" i="10"/>
  <c r="C22" i="10"/>
  <c r="I22" i="10" s="1"/>
  <c r="H21" i="10"/>
  <c r="C21" i="10"/>
  <c r="H20" i="10"/>
  <c r="G20" i="10"/>
  <c r="C20" i="10"/>
  <c r="I20" i="10" s="1"/>
  <c r="G19" i="10"/>
  <c r="H19" i="10" s="1"/>
  <c r="C19" i="10"/>
  <c r="H18" i="10"/>
  <c r="G18" i="10"/>
  <c r="C18" i="10"/>
  <c r="G17" i="10"/>
  <c r="H17" i="10" s="1"/>
  <c r="C17" i="10"/>
  <c r="H16" i="10"/>
  <c r="G16" i="10"/>
  <c r="C16" i="10"/>
  <c r="C15" i="10"/>
  <c r="A15" i="10"/>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C14" i="10"/>
  <c r="I17" i="10" l="1"/>
  <c r="I21" i="10"/>
  <c r="G15" i="10"/>
  <c r="G14" i="10" s="1"/>
  <c r="I19" i="10"/>
  <c r="I18" i="10"/>
  <c r="I16" i="10"/>
  <c r="H15" i="10"/>
  <c r="I33" i="10"/>
  <c r="I24" i="10"/>
  <c r="I23" i="10"/>
  <c r="I47" i="10"/>
  <c r="G32" i="10"/>
  <c r="G49" i="10" l="1"/>
  <c r="I15" i="10"/>
  <c r="I14" i="10" s="1"/>
  <c r="H14" i="10"/>
  <c r="G31" i="10"/>
  <c r="H31" i="10" s="1"/>
  <c r="I31" i="10" s="1"/>
  <c r="H32" i="10"/>
  <c r="I32" i="10" s="1"/>
  <c r="I49" i="10" l="1"/>
  <c r="H49" i="10"/>
  <c r="I45" i="7" l="1"/>
  <c r="H45" i="7"/>
  <c r="H44" i="7" s="1"/>
  <c r="G13" i="7"/>
  <c r="G14" i="7"/>
  <c r="I14" i="7" s="1"/>
  <c r="G15" i="7"/>
  <c r="I15" i="7" s="1"/>
  <c r="G16" i="7"/>
  <c r="I19" i="7"/>
  <c r="I43" i="7"/>
  <c r="H42" i="7"/>
  <c r="I42" i="7" s="1"/>
  <c r="H29" i="7"/>
  <c r="G20" i="7"/>
  <c r="I20" i="7" s="1"/>
  <c r="H21" i="7"/>
  <c r="I18" i="7"/>
  <c r="I16" i="7"/>
  <c r="H12" i="7" l="1"/>
  <c r="I13" i="7"/>
  <c r="H41" i="7"/>
  <c r="H28" i="7" l="1"/>
  <c r="I41" i="7"/>
  <c r="H11" i="7"/>
  <c r="I22" i="7"/>
  <c r="I23" i="7"/>
  <c r="I24" i="7"/>
  <c r="I25" i="7"/>
  <c r="I26" i="7"/>
  <c r="I27" i="7"/>
  <c r="I31" i="7"/>
  <c r="I32" i="7"/>
  <c r="I33" i="7"/>
  <c r="I34" i="7"/>
  <c r="I35" i="7"/>
  <c r="I36" i="7"/>
  <c r="I37" i="7"/>
  <c r="I38" i="7"/>
  <c r="I39" i="7"/>
  <c r="I40" i="7"/>
  <c r="G44" i="7"/>
  <c r="I44" i="7" s="1"/>
  <c r="H46" i="7" l="1"/>
  <c r="D42" i="9"/>
  <c r="D39" i="9" s="1"/>
  <c r="F37" i="9"/>
  <c r="D37" i="9"/>
  <c r="D36" i="9"/>
  <c r="D35" i="9"/>
  <c r="D34" i="9"/>
  <c r="D33" i="9"/>
  <c r="D32" i="9" s="1"/>
  <c r="E28" i="9"/>
  <c r="D28" i="9"/>
  <c r="D27" i="9" s="1"/>
  <c r="D22" i="9"/>
  <c r="F21" i="9"/>
  <c r="F19" i="9" s="1"/>
  <c r="D19" i="9"/>
  <c r="F18" i="9"/>
  <c r="F17" i="9"/>
  <c r="F9" i="9" s="1"/>
  <c r="F16" i="9"/>
  <c r="D16" i="9"/>
  <c r="F15" i="9"/>
  <c r="F14" i="9"/>
  <c r="E14" i="9"/>
  <c r="F13" i="9"/>
  <c r="F12" i="9"/>
  <c r="F11" i="9"/>
  <c r="F10" i="9" s="1"/>
  <c r="E11" i="9"/>
  <c r="E10" i="9" s="1"/>
  <c r="D10" i="9"/>
  <c r="A10" i="9"/>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E9" i="9"/>
  <c r="G30" i="7"/>
  <c r="G21" i="7"/>
  <c r="I21" i="7" s="1"/>
  <c r="G17" i="7"/>
  <c r="I17" i="7" s="1"/>
  <c r="D9" i="9" l="1"/>
  <c r="G12" i="7"/>
  <c r="I12" i="7" s="1"/>
  <c r="I11" i="7" s="1"/>
  <c r="I30" i="7"/>
  <c r="G29" i="7"/>
  <c r="G28" i="7" s="1"/>
  <c r="I28" i="7" s="1"/>
  <c r="E44" i="9"/>
  <c r="F44" i="9"/>
  <c r="D26" i="9"/>
  <c r="I46" i="7" l="1"/>
  <c r="D44" i="9"/>
  <c r="G11" i="7"/>
  <c r="G46" i="7" s="1"/>
  <c r="I29" i="7"/>
  <c r="F43" i="8"/>
  <c r="D42" i="8"/>
  <c r="D39" i="8" s="1"/>
  <c r="F39" i="8" s="1"/>
  <c r="F41" i="8"/>
  <c r="F40" i="8"/>
  <c r="F38" i="8"/>
  <c r="F37" i="8"/>
  <c r="D37" i="8"/>
  <c r="D36" i="8"/>
  <c r="F36" i="8" s="1"/>
  <c r="D35" i="8"/>
  <c r="F35" i="8" s="1"/>
  <c r="D34" i="8"/>
  <c r="F34" i="8" s="1"/>
  <c r="D33" i="8"/>
  <c r="F33" i="8" s="1"/>
  <c r="F31" i="8"/>
  <c r="F30" i="8"/>
  <c r="F29" i="8"/>
  <c r="E28" i="8"/>
  <c r="D28" i="8"/>
  <c r="D27" i="8" s="1"/>
  <c r="F25" i="8"/>
  <c r="F24" i="8"/>
  <c r="F23" i="8"/>
  <c r="F22" i="8"/>
  <c r="D22" i="8"/>
  <c r="F21" i="8"/>
  <c r="F20" i="8"/>
  <c r="D19" i="8"/>
  <c r="F19" i="8" s="1"/>
  <c r="F18" i="8"/>
  <c r="F17" i="8"/>
  <c r="F16" i="8"/>
  <c r="D16" i="8"/>
  <c r="F15" i="8"/>
  <c r="E14" i="8"/>
  <c r="F14" i="8" s="1"/>
  <c r="F13" i="8"/>
  <c r="F12" i="8"/>
  <c r="F11" i="8"/>
  <c r="E11" i="8"/>
  <c r="E10" i="8"/>
  <c r="D10" i="8"/>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E9" i="8"/>
  <c r="E44" i="8" l="1"/>
  <c r="F10" i="8"/>
  <c r="D32" i="8"/>
  <c r="F32" i="8" s="1"/>
  <c r="F42" i="8"/>
  <c r="F27" i="8"/>
  <c r="F28" i="8"/>
  <c r="D9" i="8"/>
  <c r="D26" i="8" l="1"/>
  <c r="F26" i="8" s="1"/>
  <c r="F9" i="8"/>
  <c r="A15" i="7"/>
  <c r="A16" i="7" s="1"/>
  <c r="A17" i="7" s="1"/>
  <c r="A18" i="7" s="1"/>
  <c r="A19" i="7" s="1"/>
  <c r="A20" i="7" s="1"/>
  <c r="A21" i="7" s="1"/>
  <c r="F11" i="6"/>
  <c r="D16" i="6"/>
  <c r="F16" i="6" s="1"/>
  <c r="D42" i="6"/>
  <c r="D39" i="6" s="1"/>
  <c r="F39" i="6" s="1"/>
  <c r="D28" i="6"/>
  <c r="F28" i="6" s="1"/>
  <c r="D37" i="6"/>
  <c r="F37" i="6" s="1"/>
  <c r="D19" i="6"/>
  <c r="F19" i="6" s="1"/>
  <c r="D10" i="6"/>
  <c r="F10" i="6" s="1"/>
  <c r="D36" i="6"/>
  <c r="F36" i="6" s="1"/>
  <c r="D35" i="6"/>
  <c r="D34" i="6"/>
  <c r="F34" i="6" s="1"/>
  <c r="D33" i="6"/>
  <c r="D22" i="6"/>
  <c r="F22" i="6" s="1"/>
  <c r="F12" i="6"/>
  <c r="F13" i="6"/>
  <c r="F14" i="6"/>
  <c r="F15" i="6"/>
  <c r="F17" i="6"/>
  <c r="F18" i="6"/>
  <c r="F20" i="6"/>
  <c r="F21" i="6"/>
  <c r="F23" i="6"/>
  <c r="F24" i="6"/>
  <c r="F25" i="6"/>
  <c r="F29" i="6"/>
  <c r="F30" i="6"/>
  <c r="F31" i="6"/>
  <c r="F35" i="6"/>
  <c r="F38" i="6"/>
  <c r="F40" i="6"/>
  <c r="F41" i="6"/>
  <c r="F43" i="6"/>
  <c r="C20" i="6"/>
  <c r="A10" i="6"/>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E16" i="4"/>
  <c r="G18" i="5"/>
  <c r="G15" i="5"/>
  <c r="G11" i="5"/>
  <c r="G12" i="5"/>
  <c r="G13" i="5"/>
  <c r="G42" i="5"/>
  <c r="G40" i="5"/>
  <c r="G19" i="5"/>
  <c r="G28" i="5"/>
  <c r="G27" i="5" s="1"/>
  <c r="G25" i="5"/>
  <c r="G22" i="5" s="1"/>
  <c r="G38" i="5"/>
  <c r="G37" i="5" s="1"/>
  <c r="G32" i="5" s="1"/>
  <c r="G14" i="5"/>
  <c r="F43" i="5"/>
  <c r="F41" i="5"/>
  <c r="F38" i="5"/>
  <c r="F36" i="5"/>
  <c r="F35" i="5"/>
  <c r="C37" i="7" s="1"/>
  <c r="J37" i="7" s="1"/>
  <c r="F34" i="5"/>
  <c r="F31" i="5"/>
  <c r="F30" i="5"/>
  <c r="F29" i="5"/>
  <c r="F25" i="5"/>
  <c r="F24" i="5"/>
  <c r="F23" i="5"/>
  <c r="F21" i="5"/>
  <c r="I21" i="5" s="1"/>
  <c r="I20" i="5"/>
  <c r="F20" i="5"/>
  <c r="F18" i="5"/>
  <c r="E15" i="5"/>
  <c r="F15" i="5" s="1"/>
  <c r="E14" i="5"/>
  <c r="F14" i="5" s="1"/>
  <c r="E13" i="5"/>
  <c r="F13" i="5" s="1"/>
  <c r="E12" i="5"/>
  <c r="F12" i="5" s="1"/>
  <c r="E11" i="5"/>
  <c r="F11" i="5" s="1"/>
  <c r="F20" i="3"/>
  <c r="I20" i="3" s="1"/>
  <c r="C31" i="9" l="1"/>
  <c r="G31" i="9" s="1"/>
  <c r="C31" i="8"/>
  <c r="G31" i="8" s="1"/>
  <c r="C18" i="9"/>
  <c r="G18" i="9" s="1"/>
  <c r="C18" i="8"/>
  <c r="G18" i="8" s="1"/>
  <c r="C29" i="9"/>
  <c r="G29" i="9" s="1"/>
  <c r="C29" i="8"/>
  <c r="G29" i="8" s="1"/>
  <c r="C43" i="9"/>
  <c r="G43" i="9" s="1"/>
  <c r="C43" i="8"/>
  <c r="G43" i="8" s="1"/>
  <c r="C22" i="7"/>
  <c r="C20" i="9"/>
  <c r="G20" i="9" s="1"/>
  <c r="C20" i="8"/>
  <c r="G20" i="8" s="1"/>
  <c r="C23" i="9"/>
  <c r="G23" i="9" s="1"/>
  <c r="C23" i="8"/>
  <c r="G23" i="8" s="1"/>
  <c r="C30" i="9"/>
  <c r="G30" i="9" s="1"/>
  <c r="C30" i="8"/>
  <c r="G30" i="8" s="1"/>
  <c r="I36" i="5"/>
  <c r="C36" i="9"/>
  <c r="G36" i="9" s="1"/>
  <c r="C36" i="8"/>
  <c r="G36" i="8" s="1"/>
  <c r="I38" i="5"/>
  <c r="I37" i="5" s="1"/>
  <c r="C38" i="9"/>
  <c r="G38" i="9" s="1"/>
  <c r="C38" i="8"/>
  <c r="G38" i="8" s="1"/>
  <c r="C21" i="9"/>
  <c r="G21" i="9" s="1"/>
  <c r="C21" i="8"/>
  <c r="G21" i="8" s="1"/>
  <c r="C25" i="9"/>
  <c r="G25" i="9" s="1"/>
  <c r="C25" i="8"/>
  <c r="G25" i="8" s="1"/>
  <c r="I34" i="5"/>
  <c r="I33" i="5" s="1"/>
  <c r="I32" i="5" s="1"/>
  <c r="C34" i="9"/>
  <c r="G34" i="9" s="1"/>
  <c r="C34" i="8"/>
  <c r="G34" i="8" s="1"/>
  <c r="C41" i="9"/>
  <c r="G41" i="9" s="1"/>
  <c r="C41" i="8"/>
  <c r="G41" i="8" s="1"/>
  <c r="C24" i="9"/>
  <c r="G24" i="9" s="1"/>
  <c r="C24" i="8"/>
  <c r="G24" i="8" s="1"/>
  <c r="C35" i="9"/>
  <c r="G35" i="9" s="1"/>
  <c r="C35" i="8"/>
  <c r="G35" i="8" s="1"/>
  <c r="G20" i="6"/>
  <c r="D44" i="8"/>
  <c r="F44" i="8" s="1"/>
  <c r="C12" i="9"/>
  <c r="G12" i="9" s="1"/>
  <c r="C12" i="8"/>
  <c r="G12" i="8" s="1"/>
  <c r="C11" i="9"/>
  <c r="G11" i="9" s="1"/>
  <c r="C11" i="8"/>
  <c r="G11" i="8" s="1"/>
  <c r="C15" i="9"/>
  <c r="G15" i="9" s="1"/>
  <c r="C15" i="8"/>
  <c r="G15" i="8" s="1"/>
  <c r="C13" i="9"/>
  <c r="G13" i="9" s="1"/>
  <c r="C13" i="8"/>
  <c r="G13" i="8" s="1"/>
  <c r="C14" i="9"/>
  <c r="G14" i="9" s="1"/>
  <c r="C14" i="8"/>
  <c r="G14" i="8" s="1"/>
  <c r="I12" i="5"/>
  <c r="C14" i="7"/>
  <c r="I14" i="5"/>
  <c r="C16" i="7"/>
  <c r="I18" i="5"/>
  <c r="C20" i="7"/>
  <c r="J20" i="7" s="1"/>
  <c r="C26" i="7"/>
  <c r="I24" i="5"/>
  <c r="F22" i="5"/>
  <c r="F28" i="5"/>
  <c r="C31" i="7"/>
  <c r="C29" i="6"/>
  <c r="G29" i="6" s="1"/>
  <c r="I29" i="5"/>
  <c r="C33" i="7"/>
  <c r="C31" i="6"/>
  <c r="G31" i="6" s="1"/>
  <c r="I31" i="5"/>
  <c r="I43" i="5"/>
  <c r="C43" i="6"/>
  <c r="G43" i="6" s="1"/>
  <c r="F42" i="5"/>
  <c r="C36" i="6"/>
  <c r="C24" i="6"/>
  <c r="G24" i="6" s="1"/>
  <c r="C12" i="6"/>
  <c r="G12" i="6" s="1"/>
  <c r="C36" i="7"/>
  <c r="J36" i="7" s="1"/>
  <c r="C38" i="7"/>
  <c r="J38" i="7" s="1"/>
  <c r="C40" i="7"/>
  <c r="J40" i="7" s="1"/>
  <c r="C13" i="7"/>
  <c r="J13" i="7" s="1"/>
  <c r="C11" i="6"/>
  <c r="G11" i="6" s="1"/>
  <c r="I13" i="5"/>
  <c r="C15" i="7"/>
  <c r="C13" i="6"/>
  <c r="G13" i="6" s="1"/>
  <c r="I15" i="5"/>
  <c r="C17" i="7"/>
  <c r="C15" i="6"/>
  <c r="G15" i="6" s="1"/>
  <c r="C25" i="7"/>
  <c r="C23" i="6"/>
  <c r="G23" i="6" s="1"/>
  <c r="I23" i="5"/>
  <c r="C27" i="7"/>
  <c r="C25" i="6"/>
  <c r="G25" i="6" s="1"/>
  <c r="I25" i="5"/>
  <c r="I22" i="5" s="1"/>
  <c r="C32" i="7"/>
  <c r="I30" i="5"/>
  <c r="F33" i="5"/>
  <c r="C35" i="6"/>
  <c r="G35" i="6" s="1"/>
  <c r="I35" i="5"/>
  <c r="F37" i="5"/>
  <c r="I41" i="5"/>
  <c r="C41" i="6"/>
  <c r="G41" i="6" s="1"/>
  <c r="C38" i="6"/>
  <c r="G38" i="6" s="1"/>
  <c r="C34" i="6"/>
  <c r="G34" i="6" s="1"/>
  <c r="C30" i="6"/>
  <c r="G30" i="6" s="1"/>
  <c r="C18" i="6"/>
  <c r="G18" i="6" s="1"/>
  <c r="C14" i="6"/>
  <c r="G14" i="6" s="1"/>
  <c r="F42" i="6"/>
  <c r="D32" i="6"/>
  <c r="F32" i="6" s="1"/>
  <c r="F33" i="6"/>
  <c r="C43" i="7"/>
  <c r="J43" i="7" s="1"/>
  <c r="C45" i="7"/>
  <c r="J45" i="7" s="1"/>
  <c r="F19" i="5"/>
  <c r="C21" i="6"/>
  <c r="G21" i="6" s="1"/>
  <c r="G36" i="6"/>
  <c r="C23" i="7"/>
  <c r="D9" i="6"/>
  <c r="F9" i="6" s="1"/>
  <c r="D27" i="6"/>
  <c r="F27" i="6" s="1"/>
  <c r="G10" i="5"/>
  <c r="G9" i="5" s="1"/>
  <c r="G44" i="5" s="1"/>
  <c r="G39" i="5"/>
  <c r="F10" i="5"/>
  <c r="I11" i="5"/>
  <c r="F40" i="5"/>
  <c r="F24" i="3"/>
  <c r="F23" i="3"/>
  <c r="I23" i="3" s="1"/>
  <c r="C37" i="9" l="1"/>
  <c r="G37" i="9" s="1"/>
  <c r="C37" i="8"/>
  <c r="G37" i="8" s="1"/>
  <c r="C22" i="9"/>
  <c r="G22" i="9" s="1"/>
  <c r="C22" i="8"/>
  <c r="G22" i="8" s="1"/>
  <c r="C42" i="9"/>
  <c r="G42" i="9" s="1"/>
  <c r="C42" i="8"/>
  <c r="G42" i="8" s="1"/>
  <c r="C19" i="9"/>
  <c r="G19" i="9" s="1"/>
  <c r="C19" i="8"/>
  <c r="G19" i="8" s="1"/>
  <c r="C33" i="9"/>
  <c r="G33" i="9" s="1"/>
  <c r="C33" i="8"/>
  <c r="G33" i="8" s="1"/>
  <c r="C40" i="9"/>
  <c r="G40" i="9" s="1"/>
  <c r="C40" i="8"/>
  <c r="G40" i="8" s="1"/>
  <c r="C28" i="9"/>
  <c r="G28" i="9" s="1"/>
  <c r="C28" i="8"/>
  <c r="G28" i="8" s="1"/>
  <c r="J33" i="7"/>
  <c r="C10" i="9"/>
  <c r="G10" i="9" s="1"/>
  <c r="C10" i="8"/>
  <c r="G10" i="8" s="1"/>
  <c r="C42" i="7"/>
  <c r="J42" i="7" s="1"/>
  <c r="C40" i="6"/>
  <c r="G40" i="6" s="1"/>
  <c r="C12" i="7"/>
  <c r="C10" i="6"/>
  <c r="G10" i="6" s="1"/>
  <c r="C39" i="7"/>
  <c r="J39" i="7" s="1"/>
  <c r="C37" i="6"/>
  <c r="G37" i="6" s="1"/>
  <c r="I28" i="5"/>
  <c r="I27" i="5" s="1"/>
  <c r="C24" i="7"/>
  <c r="C22" i="6"/>
  <c r="G22" i="6" s="1"/>
  <c r="I10" i="5"/>
  <c r="I19" i="5"/>
  <c r="C21" i="7"/>
  <c r="C19" i="6"/>
  <c r="G19" i="6" s="1"/>
  <c r="F32" i="5"/>
  <c r="C33" i="6"/>
  <c r="G33" i="6" s="1"/>
  <c r="C35" i="7"/>
  <c r="J35" i="7" s="1"/>
  <c r="I42" i="5"/>
  <c r="C44" i="7"/>
  <c r="J44" i="7" s="1"/>
  <c r="C42" i="6"/>
  <c r="G42" i="6" s="1"/>
  <c r="F27" i="5"/>
  <c r="C30" i="7"/>
  <c r="C28" i="6"/>
  <c r="G28" i="6" s="1"/>
  <c r="D26" i="6"/>
  <c r="F26" i="6" s="1"/>
  <c r="F39" i="5"/>
  <c r="I40" i="5"/>
  <c r="I39" i="5" s="1"/>
  <c r="I26" i="5" s="1"/>
  <c r="F13" i="4"/>
  <c r="F16" i="4" s="1"/>
  <c r="J9" i="4"/>
  <c r="J10" i="4"/>
  <c r="J11" i="4"/>
  <c r="J12" i="4"/>
  <c r="J8" i="4"/>
  <c r="C39" i="9" l="1"/>
  <c r="G39" i="9" s="1"/>
  <c r="C39" i="8"/>
  <c r="G39" i="8" s="1"/>
  <c r="C27" i="9"/>
  <c r="G27" i="9" s="1"/>
  <c r="C27" i="8"/>
  <c r="G27" i="8" s="1"/>
  <c r="C32" i="9"/>
  <c r="G32" i="9" s="1"/>
  <c r="C32" i="8"/>
  <c r="G32" i="8" s="1"/>
  <c r="J32" i="7"/>
  <c r="F26" i="5"/>
  <c r="C41" i="7"/>
  <c r="J41" i="7" s="1"/>
  <c r="C39" i="6"/>
  <c r="G39" i="6" s="1"/>
  <c r="C27" i="6"/>
  <c r="G27" i="6" s="1"/>
  <c r="C29" i="7"/>
  <c r="C34" i="7"/>
  <c r="J34" i="7" s="1"/>
  <c r="C32" i="6"/>
  <c r="G32" i="6" s="1"/>
  <c r="D44" i="6"/>
  <c r="F25" i="3"/>
  <c r="F22" i="3" s="1"/>
  <c r="C26" i="9" l="1"/>
  <c r="G26" i="9" s="1"/>
  <c r="C26" i="8"/>
  <c r="G26" i="8" s="1"/>
  <c r="J31" i="7"/>
  <c r="C28" i="7"/>
  <c r="C26" i="6"/>
  <c r="G26" i="6" s="1"/>
  <c r="F44" i="6"/>
  <c r="E11" i="3"/>
  <c r="E12" i="3"/>
  <c r="F12" i="3" s="1"/>
  <c r="I12" i="3" s="1"/>
  <c r="E13" i="3"/>
  <c r="F13" i="3" s="1"/>
  <c r="I13" i="3" s="1"/>
  <c r="E14" i="3"/>
  <c r="F14" i="3" s="1"/>
  <c r="I14" i="3" s="1"/>
  <c r="E15" i="3"/>
  <c r="F15" i="3" s="1"/>
  <c r="I15" i="3" s="1"/>
  <c r="F18" i="3"/>
  <c r="I18" i="3" s="1"/>
  <c r="F21" i="3"/>
  <c r="F30" i="3"/>
  <c r="I30" i="3" s="1"/>
  <c r="F29" i="3"/>
  <c r="I29" i="3" s="1"/>
  <c r="F31" i="3"/>
  <c r="I31" i="3" s="1"/>
  <c r="F34" i="3"/>
  <c r="F35" i="3"/>
  <c r="I35" i="3" s="1"/>
  <c r="F36" i="3"/>
  <c r="I36" i="3" s="1"/>
  <c r="F38" i="3"/>
  <c r="F37" i="3" s="1"/>
  <c r="F41" i="3"/>
  <c r="F43" i="3"/>
  <c r="F42" i="3" s="1"/>
  <c r="I42" i="3" s="1"/>
  <c r="I24" i="3"/>
  <c r="I25" i="3"/>
  <c r="M8" i="4"/>
  <c r="G9" i="4"/>
  <c r="G10" i="4"/>
  <c r="G11" i="4"/>
  <c r="G12" i="4"/>
  <c r="G8" i="4"/>
  <c r="D13" i="4"/>
  <c r="D16" i="4" s="1"/>
  <c r="M9" i="4"/>
  <c r="M10" i="4"/>
  <c r="M11" i="4"/>
  <c r="M12" i="4"/>
  <c r="E9" i="4"/>
  <c r="K9" i="4" s="1"/>
  <c r="E10" i="4"/>
  <c r="K10" i="4" s="1"/>
  <c r="E11" i="4"/>
  <c r="K11" i="4" s="1"/>
  <c r="E12" i="4"/>
  <c r="E8" i="4"/>
  <c r="D4" i="4"/>
  <c r="H11" i="4"/>
  <c r="J30" i="7" l="1"/>
  <c r="F19" i="3"/>
  <c r="I19" i="3" s="1"/>
  <c r="I22" i="3"/>
  <c r="K8" i="4"/>
  <c r="L8" i="4" s="1"/>
  <c r="H8" i="4"/>
  <c r="I11" i="4"/>
  <c r="L11" i="4"/>
  <c r="N11" i="4" s="1"/>
  <c r="G13" i="4"/>
  <c r="G16" i="4" s="1"/>
  <c r="K12" i="4"/>
  <c r="L12" i="4" s="1"/>
  <c r="L10" i="4"/>
  <c r="L9" i="4"/>
  <c r="N9" i="4" s="1"/>
  <c r="I41" i="3"/>
  <c r="F40" i="3"/>
  <c r="F39" i="3" s="1"/>
  <c r="I43" i="3"/>
  <c r="I21" i="3"/>
  <c r="F33" i="3"/>
  <c r="F32" i="3" s="1"/>
  <c r="I34" i="3"/>
  <c r="I33" i="3" s="1"/>
  <c r="I38" i="3"/>
  <c r="I37" i="3" s="1"/>
  <c r="F11" i="3"/>
  <c r="I11" i="3" s="1"/>
  <c r="I10" i="3" s="1"/>
  <c r="F28" i="3"/>
  <c r="F27" i="3" s="1"/>
  <c r="I28" i="3"/>
  <c r="I27" i="3" s="1"/>
  <c r="H12" i="4"/>
  <c r="I12" i="4" s="1"/>
  <c r="N10" i="4"/>
  <c r="H10" i="4"/>
  <c r="I10" i="4" s="1"/>
  <c r="H9" i="4"/>
  <c r="I9" i="4" s="1"/>
  <c r="J13" i="4"/>
  <c r="M13" i="4"/>
  <c r="J29" i="7" l="1"/>
  <c r="E17" i="3"/>
  <c r="F17" i="3" s="1"/>
  <c r="I17" i="3" s="1"/>
  <c r="E17" i="5"/>
  <c r="F17" i="5" s="1"/>
  <c r="J16" i="4"/>
  <c r="F26" i="3"/>
  <c r="N12" i="4"/>
  <c r="I40" i="3"/>
  <c r="I39" i="3" s="1"/>
  <c r="F10" i="3"/>
  <c r="I32" i="3"/>
  <c r="L13" i="4"/>
  <c r="L16" i="4" s="1"/>
  <c r="H13" i="4"/>
  <c r="H16" i="4" s="1"/>
  <c r="I8" i="4"/>
  <c r="I13" i="4" s="1"/>
  <c r="I16" i="4" s="1"/>
  <c r="N8" i="4"/>
  <c r="N13" i="4" s="1"/>
  <c r="K13" i="4"/>
  <c r="J28" i="7" l="1"/>
  <c r="C17" i="9"/>
  <c r="G17" i="9" s="1"/>
  <c r="C17" i="8"/>
  <c r="G17" i="8" s="1"/>
  <c r="I17" i="5"/>
  <c r="C19" i="7"/>
  <c r="C17" i="6"/>
  <c r="G17" i="6" s="1"/>
  <c r="E16" i="3"/>
  <c r="F16" i="3" s="1"/>
  <c r="I16" i="3" s="1"/>
  <c r="I9" i="3" s="1"/>
  <c r="K16" i="4"/>
  <c r="E16" i="5"/>
  <c r="F16" i="5" s="1"/>
  <c r="I26" i="3"/>
  <c r="J27" i="7" l="1"/>
  <c r="C16" i="9"/>
  <c r="G16" i="9" s="1"/>
  <c r="C16" i="8"/>
  <c r="G16" i="8" s="1"/>
  <c r="I16" i="5"/>
  <c r="I9" i="5" s="1"/>
  <c r="I44" i="5" s="1"/>
  <c r="C18" i="7"/>
  <c r="C16" i="6"/>
  <c r="G16" i="6" s="1"/>
  <c r="F9" i="5"/>
  <c r="I44" i="3"/>
  <c r="F9" i="3"/>
  <c r="F44" i="3" s="1"/>
  <c r="J26" i="7" l="1"/>
  <c r="C9" i="9"/>
  <c r="G9" i="9" s="1"/>
  <c r="C9" i="8"/>
  <c r="G9" i="8" s="1"/>
  <c r="C11" i="7"/>
  <c r="C9" i="6"/>
  <c r="G9" i="6" s="1"/>
  <c r="F44" i="5"/>
  <c r="J25" i="7" l="1"/>
  <c r="C44" i="9"/>
  <c r="G44" i="9" s="1"/>
  <c r="C44" i="8"/>
  <c r="G44" i="8" s="1"/>
  <c r="C46" i="7"/>
  <c r="C44" i="6"/>
  <c r="G44" i="6" s="1"/>
  <c r="J24" i="7" l="1"/>
  <c r="J23" i="7" l="1"/>
  <c r="J22" i="7" l="1"/>
  <c r="J21" i="7" l="1"/>
  <c r="J19" i="7" l="1"/>
  <c r="J18" i="7" l="1"/>
  <c r="J17" i="7" l="1"/>
  <c r="J16" i="7" l="1"/>
  <c r="J15" i="7" l="1"/>
  <c r="J14" i="7" l="1"/>
  <c r="J12" i="7" l="1"/>
  <c r="J11" i="7" l="1"/>
  <c r="J46" i="7" s="1"/>
</calcChain>
</file>

<file path=xl/sharedStrings.xml><?xml version="1.0" encoding="utf-8"?>
<sst xmlns="http://schemas.openxmlformats.org/spreadsheetml/2006/main" count="604" uniqueCount="190">
  <si>
    <t>№</t>
  </si>
  <si>
    <t>Единица измерения</t>
  </si>
  <si>
    <t>Количество</t>
  </si>
  <si>
    <t>Стоимость, в тенге</t>
  </si>
  <si>
    <t>Источники финансирования</t>
  </si>
  <si>
    <t>Заявитель (софинансирование)</t>
  </si>
  <si>
    <t>Другие источники софинансирования</t>
  </si>
  <si>
    <t>Средства гранта</t>
  </si>
  <si>
    <t>Административные затраты:</t>
  </si>
  <si>
    <t>Прямые расходы:</t>
  </si>
  <si>
    <t>руководитель проекта</t>
  </si>
  <si>
    <t>бухгалтер</t>
  </si>
  <si>
    <t>менеджер</t>
  </si>
  <si>
    <t>мес</t>
  </si>
  <si>
    <t>Итого расходов</t>
  </si>
  <si>
    <t>Если ЗП меньше 25 МРП</t>
  </si>
  <si>
    <t>МРП</t>
  </si>
  <si>
    <t>расчет корректировки 90%</t>
  </si>
  <si>
    <t>вычет по ОПВ</t>
  </si>
  <si>
    <t>ОПВ</t>
  </si>
  <si>
    <t>ИПН</t>
  </si>
  <si>
    <t>на руки</t>
  </si>
  <si>
    <t>СО</t>
  </si>
  <si>
    <t>СН</t>
  </si>
  <si>
    <t>должность</t>
  </si>
  <si>
    <t>ед.изм</t>
  </si>
  <si>
    <t>кол-во</t>
  </si>
  <si>
    <t>оклад</t>
  </si>
  <si>
    <t>Таблица исчисления налогов по ЗП менее 25 МРП</t>
  </si>
  <si>
    <t>ОСМС</t>
  </si>
  <si>
    <t>Утебаева ДК</t>
  </si>
  <si>
    <t>Альменова К.Т.</t>
  </si>
  <si>
    <t>Утебаев Д.Е.</t>
  </si>
  <si>
    <t>Тажибаева Д.А.</t>
  </si>
  <si>
    <t>специалист по соцсетям (1/2 ставки</t>
  </si>
  <si>
    <t>координатор (1/2 ставки)</t>
  </si>
  <si>
    <t xml:space="preserve">Смета расходов по реализации социального проекта </t>
  </si>
  <si>
    <t>Папка</t>
  </si>
  <si>
    <t>Ручка</t>
  </si>
  <si>
    <t>Блокнот</t>
  </si>
  <si>
    <t>Приобретение раздаточных материалов, в том числе:</t>
  </si>
  <si>
    <t>Расходы по оплате работ и услуг, оказываемых юридическими и физическими лицами, в том числе:</t>
  </si>
  <si>
    <t>Заработная плата, в том числе:</t>
  </si>
  <si>
    <t>Социальный налог и социальные отчисления</t>
  </si>
  <si>
    <t>Банковские услуги</t>
  </si>
  <si>
    <t>Услуги тренера</t>
  </si>
  <si>
    <t>Всего,                в тенге</t>
  </si>
  <si>
    <r>
      <rPr>
        <b/>
        <sz val="12"/>
        <color theme="1"/>
        <rFont val="Times New Roman"/>
        <family val="1"/>
        <charset val="204"/>
      </rPr>
      <t>Грантополучатель</t>
    </r>
    <r>
      <rPr>
        <sz val="12"/>
        <color theme="1"/>
        <rFont val="Times New Roman"/>
        <family val="1"/>
        <charset val="204"/>
      </rPr>
      <t>: ОФ "Гражданский альянс Костанайской области "ГрИн"</t>
    </r>
  </si>
  <si>
    <r>
      <rPr>
        <b/>
        <sz val="12"/>
        <color theme="1"/>
        <rFont val="Times New Roman"/>
        <family val="1"/>
        <charset val="204"/>
      </rPr>
      <t>Сумма гранта:</t>
    </r>
    <r>
      <rPr>
        <sz val="12"/>
        <color theme="1"/>
        <rFont val="Times New Roman"/>
        <family val="1"/>
        <charset val="204"/>
      </rPr>
      <t xml:space="preserve"> 3 846 800 (Три миллиона восемьсот сорок шесть тысяч восемьсот) тенге </t>
    </r>
  </si>
  <si>
    <t>Статьи расходов</t>
  </si>
  <si>
    <t>Услуги по сопровождению сайта</t>
  </si>
  <si>
    <t xml:space="preserve">С Приложением № 2 ознакомлен и согласен: </t>
  </si>
  <si>
    <t>Грантополучатель:</t>
  </si>
  <si>
    <t>«СОГЛАСОВАНО»</t>
  </si>
  <si>
    <t xml:space="preserve">Грантодатель: </t>
  </si>
  <si>
    <t>ОФ "Гражданский альянс Костанайской области "ГрИн"</t>
  </si>
  <si>
    <t>Председатель _________________ Утебаева Д.К.</t>
  </si>
  <si>
    <t xml:space="preserve">                                   М.П.</t>
  </si>
  <si>
    <t>Мероприятие 3. Галлерея достижений</t>
  </si>
  <si>
    <t>услуга</t>
  </si>
  <si>
    <t xml:space="preserve">Транспортные расходы в Кунтимес </t>
  </si>
  <si>
    <t>Транпортные расходы Аулиеколь</t>
  </si>
  <si>
    <t>Мазенова А.А.</t>
  </si>
  <si>
    <t>МЗП не применяется</t>
  </si>
  <si>
    <t>ВОСМС</t>
  </si>
  <si>
    <t>месяц</t>
  </si>
  <si>
    <t>Изготовление банера</t>
  </si>
  <si>
    <t>Руководитель проекта</t>
  </si>
  <si>
    <t>Бухгалтер</t>
  </si>
  <si>
    <t>Координатор проекта</t>
  </si>
  <si>
    <t>Менеджер проекта</t>
  </si>
  <si>
    <t>Специалист по связям с общественностью</t>
  </si>
  <si>
    <t>штук</t>
  </si>
  <si>
    <t>НАО «Центр поддержки гражданских инициатив»</t>
  </si>
  <si>
    <t>Директор проектного офиса по государственному грантовому финансированию _________________Тленчиева Ш.М.</t>
  </si>
  <si>
    <t>Директор офиса экономики и финансов ______________  Рақыш А.С.</t>
  </si>
  <si>
    <t>штука</t>
  </si>
  <si>
    <t>Главный менеджер проектного офиса по государственному грантовому финансированию  ________________ Боранбаева Ж.К.</t>
  </si>
  <si>
    <t>Приложение № 2 
к договору на предоставление гранта 
от «31» мая 2019 года №76</t>
  </si>
  <si>
    <t>МФУ</t>
  </si>
  <si>
    <t xml:space="preserve">Кликер </t>
  </si>
  <si>
    <t xml:space="preserve">Ноутбук </t>
  </si>
  <si>
    <t>Материально-техническое обеспечение:</t>
  </si>
  <si>
    <t>Мероприятие 1. Диалоговая площадка "НПО-людям"</t>
  </si>
  <si>
    <t>Мероприятие 2. Однодневная школа НПО</t>
  </si>
  <si>
    <t>Обязательное социальное медицинское страхование</t>
  </si>
  <si>
    <t>Прочие расходы, в том числе:</t>
  </si>
  <si>
    <r>
      <rPr>
        <b/>
        <sz val="12"/>
        <color theme="1"/>
        <rFont val="Times New Roman"/>
        <family val="1"/>
        <charset val="204"/>
      </rPr>
      <t>Тема гранта:</t>
    </r>
    <r>
      <rPr>
        <sz val="12"/>
        <color theme="1"/>
        <rFont val="Times New Roman"/>
        <family val="1"/>
        <charset val="204"/>
      </rPr>
      <t xml:space="preserve"> «Организация и развитие гражданского центра для поддержки неправительственных организаций по принципу «одного окна» в Костанайской области»</t>
    </r>
  </si>
  <si>
    <t>Услуги по сопровождению 1С: Бухгалетрия</t>
  </si>
  <si>
    <t>Расходы на питание (20 человек * 2500 тенге)</t>
  </si>
  <si>
    <t>Кофе-брейк (100 человек * 1200 тенге)</t>
  </si>
  <si>
    <t>Полиграфические услуги, в том числе:</t>
  </si>
  <si>
    <t>Руководитель проекта Утебаева Д.К.</t>
  </si>
  <si>
    <t>Координатор проекта Утебаев Д.Е.</t>
  </si>
  <si>
    <t>Бухгалтер Альменова К.Т.</t>
  </si>
  <si>
    <t>Менеджер проекта Мазенова А.А.</t>
  </si>
  <si>
    <t>Специалист по связям с общественностью Тажибаева Д</t>
  </si>
  <si>
    <t>Смета расходов</t>
  </si>
  <si>
    <t>Отчет № 1</t>
  </si>
  <si>
    <t>Отчет № 2</t>
  </si>
  <si>
    <t>Сумма</t>
  </si>
  <si>
    <t>(3+4)</t>
  </si>
  <si>
    <t>Остаток</t>
  </si>
  <si>
    <t>(2-5)</t>
  </si>
  <si>
    <t>Контрагент, дата и номер документа</t>
  </si>
  <si>
    <t xml:space="preserve">Причина </t>
  </si>
  <si>
    <t>не освоения средств гранта</t>
  </si>
  <si>
    <t>ПП №3 от 15.04.20, №4 от 15.04.20, №25 от 04.05.20, №26 от 04.06.20</t>
  </si>
  <si>
    <t>ПП №64 от 15.04.20, №99 от 04.06.2020, №5 от 15.04.20, №6 от 15.04.20, №24 от 04.05.20, №27 от 04.06.20</t>
  </si>
  <si>
    <t>ТД №1, табель учета, расчетная ведомость, ПП об уплате ИПН №65 от 15.04.20, №98 от 04.06.20, ВОМС ПП №8 от 15.04.20, №7 от 15.04.20, №20 от 05.04.20, №28 от 04.06.20, , ОПВ №3 от 15.04.20, №4 от 15.04.20, №10 от 04.05.20, №12 от 04.06.20, ЗП №10 от 24.02.2020, №21 от 31.03.20, №26 от 16.04.20, №33 от 27.05.20</t>
  </si>
  <si>
    <t>ТД №5, ПП об уплате ИПН №65 от 15.04.20, №98 от 04.06.20, ВОМС ПП №8 от 15.04.20, №7 от 15.04.20, №20 от 05.04.20, №28 от 04.06.20, , ОПВ №3 от 15.04.20, №4 от 15.04.20, №10 от 04.05.20, №12 от 04.06.20, ЗП - ПП №11от 28.02.20, №14 от 20.03.20,№24 от 16.04.20, №34 от 27.05.20</t>
  </si>
  <si>
    <t xml:space="preserve">ТД №3, ПП об уплате ИПН №65 от 15.04.20, №98 от 04.06.20, ВОМС ПП №8 от 15.04.20, №7 от 15.04.20, №20 от 05.04.20, №28 от 04.06.20, , ОПВ №3 от 15.04.20, №4 от 15.04.20, №10 от 04.05.20, №12 от 04.06.20, ЗП - ПП №9 от 24.02.20, №19 от 26.03.20, №25 </t>
  </si>
  <si>
    <t>ТД №2, ПП об уплате ИПН №65 от 15.04.20, №98 от 04.06.20, ВОМС ПП №8 от 15.04.20, №7 от 15.04.20, №20 от 05.04.20, №28 от 04.06.20, , ОПВ №3 от 15.04.20, №4 от 15.04.20, №10 от 04.05.20, №12 от 04.06.20, ЗП - ПП №12 от 28.02.20, №20 от 31.03.20, №27 от 04.05.20, №32 от 27.05.20</t>
  </si>
  <si>
    <t>ТД №4, ПП об уплате ИПН №65 от 15.04.20, №98 от 04.06.20, ВОМС ПП №8 от 15.04.20, №7 от 15.04.20, №20 от 05.04.20, №28 от 04.06.20, , ОПВ №3 от 15.04.20, №4 от 15.04.20, №10 от 04.05.20, №12 от 04.06.20, ЗП- ПП №37 от 28.02.20, №59 от 10.04.20, №86 от 25.05.20, №88 от 27.05.20</t>
  </si>
  <si>
    <t>выписка банка</t>
  </si>
  <si>
    <t>договор от 01.02.20, сч-ф, акт вып.работ ,ПП №40 от 06.03.20, №62 от 14.04.20, №32 от 26.02.20, №63 от 15.04.20</t>
  </si>
  <si>
    <t>Договор ГПХ Бровченко, Багытжанулы, акты выполненных работ, ПП №41 от 13.03.20, №33 от 26.02.20, ПП№66 от 15.04.20,№10 от 15.04.20, №5 от 15.04.20</t>
  </si>
  <si>
    <t>возврат Багытжанулы ВОМС 500 и ОПВ 5000</t>
  </si>
  <si>
    <t>договор от 01.02.20, сч-ф, акт вып.работ от 28.05.20, ПП № 97 от 04.06.20, сч.на оплату №82 от 28.05.20</t>
  </si>
  <si>
    <t>ТОО "ОфисСервисПлюс" накл.№2006 от 28.05.20, ЭСФ, ПП№57 от 31.03.20, 67 от 15.04.20г</t>
  </si>
  <si>
    <t>ТОО "Алматы Кенсе" сч.№6979 от 17.02.20, накл.№9238 от 27.02.20, ПП №32 от 26.02.20</t>
  </si>
  <si>
    <t>расходы будущего периода</t>
  </si>
  <si>
    <t>табель учета, расчетная ведомость, ПП №44 от 26.06.2020г. №45 от 26.06.2020г.</t>
  </si>
  <si>
    <t>ПП №43 от 26.06.2020г. №46 от 26.06.2020г.</t>
  </si>
  <si>
    <t>ПП №141 от 26.06.2020г. №142 от 26.06.2020г.</t>
  </si>
  <si>
    <t>ПП№42 от 26.06.2020г.</t>
  </si>
  <si>
    <t>ПП№38 от 30.07.2020г.</t>
  </si>
  <si>
    <t>ПП №102 от 16.06.2020г.акт выполненных работ от 30.06.2020г.</t>
  </si>
  <si>
    <t>Договор №1 от 19.06.2020г.акт вып.работ от 15.07.2020г.ПП №120 от 19.06.2020г.</t>
  </si>
  <si>
    <t>Отчет № 3</t>
  </si>
  <si>
    <t>Отчет№4</t>
  </si>
  <si>
    <t>ПП №283от 04.11.2020г.ПП №4798 от 04.11.2020г.</t>
  </si>
  <si>
    <t>ПП №284 от 04.11.2020г.ПП №4860от 04.11.2020г.</t>
  </si>
  <si>
    <t>ПП №286 от 04.11.2020г.ПП №5897 от 04.11.2020г</t>
  </si>
  <si>
    <t>табель учета, расчетная ведомость, .ПП №87 от 04.11.2020г.ПП№32 от 04.11.2020г.ПП №4908 от 04.11.2020г.</t>
  </si>
  <si>
    <t>ПП №88 от 04.11.2020г.ПП№32 от 04.11.2020г.</t>
  </si>
  <si>
    <t>ПП №86 от 04.11.2020г.ПП№32 от 04.11.2020г.</t>
  </si>
  <si>
    <t>.ПП №89 от 04.11.2020г.ПП№32 от 04.11.2020г.</t>
  </si>
  <si>
    <t>ПП №285 от 04.11.2020г.ПП№32 от 04.11.2020г. ПП №4880 от 04.11.2020г.</t>
  </si>
  <si>
    <t>ПП №291 от 06.11.2020г.,ПП №7629 от 06.11.2020г.акт выполненных работ от 30.06.2020г.</t>
  </si>
  <si>
    <t>Итого</t>
  </si>
  <si>
    <t>(2-7)</t>
  </si>
  <si>
    <t>Приложение 5</t>
  </si>
  <si>
    <t>к Договору о предоставлении гранта</t>
  </si>
  <si>
    <t>от «31» мая 2019 года №74</t>
  </si>
  <si>
    <t>ПРОМЕЖУТОЧНЫЙ</t>
  </si>
  <si>
    <t>ОТЧЕТ О РАСХОДОВАНИИ ДЕНЕЖНЫХ СРЕДСТВ*</t>
  </si>
  <si>
    <r>
      <t xml:space="preserve">Грантополучатель: </t>
    </r>
    <r>
      <rPr>
        <sz val="10"/>
        <color theme="1"/>
        <rFont val="Times New Roman"/>
        <family val="1"/>
        <charset val="204"/>
      </rPr>
      <t>ОФ «Гражданский альянс Костанайской области «ГрИн»</t>
    </r>
  </si>
  <si>
    <r>
      <rPr>
        <b/>
        <sz val="10"/>
        <color theme="1"/>
        <rFont val="Times New Roman"/>
        <family val="1"/>
        <charset val="204"/>
      </rPr>
      <t>Тема гранта:</t>
    </r>
    <r>
      <rPr>
        <sz val="10"/>
        <color theme="1"/>
        <rFont val="Times New Roman"/>
        <family val="1"/>
        <charset val="204"/>
      </rPr>
      <t xml:space="preserve"> «Организация и развитие гражданского центра для поддержки неправительственных организаций по принципу «одного окна» в Костанайской области»</t>
    </r>
  </si>
  <si>
    <r>
      <rPr>
        <b/>
        <sz val="10"/>
        <color theme="1"/>
        <rFont val="Times New Roman"/>
        <family val="1"/>
        <charset val="204"/>
      </rPr>
      <t>Сумма гранта:</t>
    </r>
    <r>
      <rPr>
        <sz val="10"/>
        <color theme="1"/>
        <rFont val="Times New Roman"/>
        <family val="1"/>
        <charset val="204"/>
      </rPr>
      <t xml:space="preserve"> 3 846 800 (Три миллиона восемьсот сорок шесть тысяч восемьсот) тенге </t>
    </r>
  </si>
  <si>
    <t xml:space="preserve">Общее количество страниц отчета: _____________ </t>
  </si>
  <si>
    <t>Руководитель организации _____________ Утебаева Д.К.</t>
  </si>
  <si>
    <t>МП</t>
  </si>
  <si>
    <t>Отчет №5</t>
  </si>
  <si>
    <t>перерасход</t>
  </si>
  <si>
    <t>переплата ИПН</t>
  </si>
  <si>
    <t xml:space="preserve">долг </t>
  </si>
  <si>
    <t>возвратные</t>
  </si>
  <si>
    <t>остаток на начало года 990 тг (4526,91-3582,75</t>
  </si>
  <si>
    <t>Бухгалтер организации _____________ Альменова К.Т.</t>
  </si>
  <si>
    <t>ЗАКЛЮЧИТЕЛЬНЫЙ</t>
  </si>
  <si>
    <t xml:space="preserve">Руководитель проекта </t>
  </si>
  <si>
    <t xml:space="preserve">Бухгалтер </t>
  </si>
  <si>
    <t xml:space="preserve">Координатор проекта </t>
  </si>
  <si>
    <t xml:space="preserve">Специалист по связям с общественностью </t>
  </si>
  <si>
    <t>ИП Закиев М.Ф. Договор №1 от 19.06.2020г.акт вып.работ от 15.07.2020г.ПП №120 от 19.06.2020г.</t>
  </si>
  <si>
    <t>ИП Закиев М.Ф., договор, акт выполненных работ,  ПП №283от 04.11.2020г.ПП №4798 от 04.11.2020г.</t>
  </si>
  <si>
    <t>ИП Тихенко Е.В., договор от 20.10.2020, от 15.10.2020г., платежное поручение №314, №317 от 02.12.2020г., сч-ф №38, №39 от 09.11.2020 г, акты вып.работ.ПП №286 от 04.11.2020г.ПП №5897 от 04.11.2020г</t>
  </si>
  <si>
    <t>ПП №81 от 09.11.2020г.</t>
  </si>
  <si>
    <t>ПП №80 от 09.11.2020г.</t>
  </si>
  <si>
    <t xml:space="preserve">ПП №286 от 04.11.2020г.ПП №5897 от 04.11.2020г </t>
  </si>
  <si>
    <t>Бухгалтер организации _____________ Кулмурзинова А.С.</t>
  </si>
  <si>
    <t>Дата: 23.09. 2020 г.</t>
  </si>
  <si>
    <t xml:space="preserve">Утебаева Д.К. трудовой договор №1 от 01.02.2020, приказ от 01.02.2020, табель учета рабочего времени за февраль, март, апрель, май, июнь, июль, август, сентябрь, октябрь, ноябрь, РПВ за февраль, март, апрель, май, июнь, июль, август, сентябрь, октябрь, ноябрь. ПП об уплате ИПН №65 от 15.04.20, №98 от 04.06.20, ВОМС ПП №8 от 15.04.20, №7 от 15.04.20, №20 от 05.04.20, №28 от 04.06.20, , ОПВ №3 от 15.04.20, №4 от 15.04.20, №10 от 04.05.20, №12 от 04.06.20, ЗП №10 от 24.02.2020, №21 от 31.03.20, №26 от 16.04.20, №33 от 27.05.20,ПП №44 от 26.06.2020г. №45 от 26.06.2020г., ПП №87 от 04.11.2020г. ПП№32 от 04.11.2020г. ПП №4908 от 04.11.2020г., табель учета от 30.11.2020 г, РПВ за ноябрь, ПП №96 от 02.12.2020г. </t>
  </si>
  <si>
    <t>Ф</t>
  </si>
  <si>
    <t>ФФ</t>
  </si>
  <si>
    <t>ПП №64 от 15.04.20, №99 от 04.06.2020, №5 от 15.04.20, №6 от 15.04.20, №24 от 04.05.20, №27 от 04.06.20, ПП№38 от 30.07.2020г., ПП №81 от 09.11.2020г.</t>
  </si>
  <si>
    <t>ПП №3 от 15.04.20, №4 от 15.04.20, №25 от 04.05.20, №26 от 04.06.20, ПП №80 от 09.11.2020г.</t>
  </si>
  <si>
    <t>ИМ Макаров, договор от 01.02.20, сч-ф, акт вып.работ , ПП №40 от 06.03.20, №62 от 14.04.20, №32 от 26.02.20, №63 от 15.04.20, ПП №291 от 06.11.2020г.,ПП №7629 от 06.11.2020г.акт выполненных работ и счф от 30.06.2020г., 31.07.2020, 30.08.2020, 30.09.2020, 31.10.2020, 30.11.2020, ПП №284 от 04.11.2020г. ПП №4860 от 04.11.2020г.</t>
  </si>
  <si>
    <t>ТОО "Интеллект-консалтинг", договор от 01.02.20, сч-ф, акт вып.работ от 28.05.20, ПП № 97 от 04.06.20, сч.на оплату №82 от 28.05.20, ПП №102 от 16.06.2020г.акт выполненных работ и счф от 30.06.2020г., 31.07.2020г.. 30.08.2020, 30.09.2020, 31.10.2020, 30.11.2020.</t>
  </si>
  <si>
    <t>случайно перечислено декабрь</t>
  </si>
  <si>
    <t>ОО "НОЦ "Senergy", договор, акт выполненных работ, сч-факутра от 19.06.2020 г, ПП №118 от 19.06.2020г.</t>
  </si>
  <si>
    <t>оплачен перерасход по Галлерее НПО ИП Тихенко</t>
  </si>
  <si>
    <t>Договор ГПХ Бровченко от 13.03.220г., Багытжанулы от 17.02.2020, акты выполненных работ, ПП №41 от 13.03.20, №33 от 26.02.20, ПП№66 от 15.04.20,№10 от 15.04.20, №5 от 15.04.20</t>
  </si>
  <si>
    <t>в связи с тем, что Форум прошел в режиме онлайн, кофе-брейк был отменен. Вместо этого было оплачено дополнительно банерное оформление Форума и увеличена Галлерея НПО</t>
  </si>
  <si>
    <t>Мазенова А.А., трудовой договор №2 от 01.02.2020, приказ от 01.02.2020г, табель учета рабочего времени за февраль, март, апрель, май, июнь, июль, август, сентябрь, октябрь, ноябрь, РПВ за февраль, март, апрель, май, июнь, июль, август, сентябрь, октябрь, ноябрь. ПП об уплате ИПН №65 от 15.04.20, №98 от 04.06.20, ВОМС ПП №8 от 15.04.20, №7 от 15.04.20, №20 от 05.04.20, №28 от 04.06.20, , ОПВ №3 от 15.04.20, №4 от 15.04.20, №10 от 04.05.20, №12 от 04.06.20, ЗП- ПП №37 от 28.02.20, №59 от 10.04.20, №86 от 25.05.20, №88 от 27.05.20, ПП №141 от 26.06.2020г. №142 от 26.06.2020г., ПП №285 от 04.11.2020г.ПП№32 от 04.11.2020г. ПП №4880 от 04.11.2020г., ПП №315 от 02.12.2020г.</t>
  </si>
  <si>
    <t>Утебаев Д.Е., трудовой договор №5 от 01.02.2020г., приказ от 01.02.2020, табель учета рабочего времени за февраль, март, апрель, май, июнь, июль, август, сентябрь, октябрь, ноябрь, РПВ за февраль, март, апрель, май, июнь, июль, август, сентябрь, октябрь, ноябрь.  ПП об уплате ИПН №65 от 15.04.20, №98 От 04.06.20, ВОМС ПП №8 от 15.04.20, №7 от 15.04.20, №20 от 05.04.20, №28 от 04.06.20, , ОПВ №3 от 15.04.20, №4 от 15.04.20, №10 от 04.05.20, №12 от 04.06.20, ЗП - ПП №12 от 28.02.20, №20 от 31.03.20, №27 от 04.05.20, №32 от 27.05.20, ПП №86 от 04.11.2020г.ПП№32 от 04.11.2020г. ПП №86 от 04.11.2020г.ПП№32 от 04.11.2020г., ПП №316 от 02.12.2020г.</t>
  </si>
  <si>
    <t>Тажибаева Д.А., трудовой договор №4 от 01.02.2020г., приказ от 01.02.2020, табель учета рабочего времени за февраль, март, апрель, май, июнь, июль, август, сентябрь, октябрь, ноябрь, РПВ за февраль, март, апрель, май, июнь, июль, август, сентябрь, октябрь, ноябрь. ПП об уплате ИПН №65 от 15.04.20, №98 от 04.06.20, ВОМС ПП №8 от 15.04.20, №7 от 15.04.20, №20 от 05.04.20, №28 от 04.06.20, , ОПВ №3 от 15.04.20, №4 от 15.04.20, №10 от 04.05.20, №12 от 04.06.20, ЗП - ПП №11от 28.02.20, №14 от 20.03.20,№24 от 16.04.20, №34 от 27.05.20, ПП№42 от 26.06.2020г., ПП №88 от 04.11.2020г.ПП№32 от 04.11.2020г., .ПП №87 от 04.11.2020г.ПП№32 от 04.11.2020г.ПП №4908 от 04.11.2020г., ПП №97 от 02.12.2020г.</t>
  </si>
  <si>
    <t xml:space="preserve">Альменова К.Т., трудовой договор №3 от 01.02.2020г., приказ от 01.02.2020г., табель учета рабочего времени за февраль, март, апрель, май, июнь, июль, август, сентябрь, октябрь, ноябрь, РПВ за февраль, март, апрель, май, июнь, июль, август, сентябрь, октябрь, ноябрь. ПП №89 от 04.11.2020г.ПП№32 от 04.11.2020г. ПП №89 от 04.11.2020г.ПП№32 от 04.11.2020г., ПП №43 от 26.06.2020г. №46 от 26.06.2020г. , ПП №95 от 02.12.2020г. </t>
  </si>
  <si>
    <t>ТОО "ОфисСервисПлюс" накл.№2006 от 28.05.20, ЭСФ, ПП№57 от 31.03.20, 67 от 15.04.20г, ЭСФ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</si>
</sst>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_-;\-* #,##0_-;_-* &quot;-&quot;??_-;_-@_-"/>
    <numFmt numFmtId="168" formatCode="#,##0.00\ _₽"/>
    <numFmt numFmtId="170" formatCode="#,##0\ _₽"/>
  </numFmts>
  <fonts count="16" x14ac:knownFonts="1">
    <font>
      <sz val="11"/>
      <color theme="1"/>
      <name val="Calibri"/>
      <family val="2"/>
      <scheme val="minor"/>
    </font>
    <font>
      <b/>
      <sz val="12"/>
      <color theme="1"/>
      <name val="Times New Roman"/>
      <family val="1"/>
      <charset val="204"/>
    </font>
    <font>
      <sz val="12"/>
      <color theme="1"/>
      <name val="Times New Roman"/>
      <family val="1"/>
      <charset val="204"/>
    </font>
    <font>
      <sz val="11"/>
      <color theme="1"/>
      <name val="Calibri"/>
      <family val="2"/>
      <scheme val="minor"/>
    </font>
    <font>
      <b/>
      <sz val="12"/>
      <name val="Times New Roman"/>
      <family val="1"/>
      <charset val="204"/>
    </font>
    <font>
      <sz val="11"/>
      <name val="Times New Roman"/>
      <family val="1"/>
      <charset val="204"/>
    </font>
    <font>
      <sz val="10"/>
      <name val="Times New Roman"/>
      <family val="1"/>
      <charset val="204"/>
    </font>
    <font>
      <b/>
      <sz val="11"/>
      <color theme="1"/>
      <name val="Times New Roman"/>
      <family val="1"/>
      <charset val="204"/>
    </font>
    <font>
      <sz val="11"/>
      <color theme="1"/>
      <name val="Times New Roman"/>
      <family val="1"/>
      <charset val="204"/>
    </font>
    <font>
      <sz val="12"/>
      <name val="Times New Roman"/>
      <family val="1"/>
      <charset val="204"/>
    </font>
    <font>
      <sz val="11"/>
      <color rgb="FF000000"/>
      <name val="Calibri"/>
      <family val="2"/>
      <charset val="204"/>
    </font>
    <font>
      <sz val="12"/>
      <color rgb="FF000000"/>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D9D9D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3" fontId="10" fillId="0" borderId="0"/>
  </cellStyleXfs>
  <cellXfs count="213">
    <xf numFmtId="0" fontId="0" fillId="0" borderId="0" xfId="0"/>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xf numFmtId="0" fontId="1" fillId="0" borderId="1" xfId="0" applyFont="1" applyBorder="1" applyAlignment="1">
      <alignment vertical="center" wrapText="1"/>
    </xf>
    <xf numFmtId="0" fontId="1" fillId="0" borderId="0" xfId="0" applyFont="1" applyAlignment="1">
      <alignment vertical="center" wrapText="1"/>
    </xf>
    <xf numFmtId="3" fontId="2" fillId="2" borderId="1" xfId="0" applyNumberFormat="1"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vertical="center" wrapText="1"/>
    </xf>
    <xf numFmtId="3" fontId="2" fillId="0" borderId="1" xfId="0" applyNumberFormat="1" applyFont="1" applyBorder="1" applyAlignment="1">
      <alignment vertical="center"/>
    </xf>
    <xf numFmtId="3" fontId="2" fillId="0" borderId="0" xfId="0" applyNumberFormat="1" applyFont="1"/>
    <xf numFmtId="165" fontId="2" fillId="0" borderId="0" xfId="1" applyNumberFormat="1" applyFont="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1"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 fillId="2" borderId="1" xfId="1" applyNumberFormat="1" applyFont="1" applyFill="1" applyBorder="1" applyAlignment="1">
      <alignment horizontal="center" vertical="center"/>
    </xf>
    <xf numFmtId="164" fontId="1" fillId="2" borderId="1" xfId="1" applyNumberFormat="1" applyFont="1" applyFill="1" applyBorder="1" applyAlignment="1">
      <alignment horizontal="right" vertical="center" wrapText="1"/>
    </xf>
    <xf numFmtId="164" fontId="2" fillId="2" borderId="1" xfId="1" applyNumberFormat="1" applyFont="1" applyFill="1" applyBorder="1" applyAlignment="1">
      <alignment horizontal="right" vertical="center" wrapText="1"/>
    </xf>
    <xf numFmtId="165" fontId="2" fillId="0" borderId="0" xfId="1" applyNumberFormat="1" applyFont="1" applyAlignment="1">
      <alignment horizontal="right" vertical="center" inden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5" fillId="0" borderId="0" xfId="0" applyFont="1"/>
    <xf numFmtId="0" fontId="5" fillId="2" borderId="0" xfId="0" applyFont="1" applyFill="1"/>
    <xf numFmtId="0" fontId="1" fillId="0" borderId="0" xfId="0" applyFont="1" applyAlignment="1">
      <alignment vertical="center"/>
    </xf>
    <xf numFmtId="0" fontId="1" fillId="2" borderId="1" xfId="0" applyFont="1" applyFill="1" applyBorder="1" applyAlignment="1">
      <alignment vertical="center" wrapText="1"/>
    </xf>
    <xf numFmtId="164" fontId="5" fillId="0" borderId="0" xfId="0" applyNumberFormat="1" applyFont="1"/>
    <xf numFmtId="3" fontId="1" fillId="0" borderId="0" xfId="0" applyNumberFormat="1" applyFont="1"/>
    <xf numFmtId="0" fontId="1" fillId="0" borderId="0" xfId="0" applyFont="1"/>
    <xf numFmtId="165"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lef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164" fontId="1" fillId="2" borderId="0" xfId="1" applyNumberFormat="1" applyFont="1" applyFill="1" applyBorder="1" applyAlignment="1">
      <alignment horizontal="center" vertical="center"/>
    </xf>
    <xf numFmtId="164" fontId="1" fillId="2" borderId="0" xfId="1" applyNumberFormat="1" applyFont="1" applyFill="1" applyBorder="1" applyAlignment="1">
      <alignment horizontal="right" vertical="center" wrapText="1" indent="1"/>
    </xf>
    <xf numFmtId="164" fontId="1" fillId="2" borderId="0" xfId="1" applyNumberFormat="1" applyFont="1" applyFill="1" applyBorder="1" applyAlignment="1">
      <alignment horizontal="right" vertical="center" wrapText="1"/>
    </xf>
    <xf numFmtId="0" fontId="7" fillId="0" borderId="0" xfId="0" applyFont="1" applyAlignment="1">
      <alignment horizontal="center" vertical="center"/>
    </xf>
    <xf numFmtId="0" fontId="8" fillId="0" borderId="0" xfId="0" applyFont="1"/>
    <xf numFmtId="0" fontId="8" fillId="0" borderId="0" xfId="0" applyFont="1" applyAlignment="1">
      <alignment horizontal="center"/>
    </xf>
    <xf numFmtId="0" fontId="9" fillId="0" borderId="0" xfId="0" applyFont="1" applyAlignment="1">
      <alignment horizontal="left"/>
    </xf>
    <xf numFmtId="49" fontId="1"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Fill="1"/>
    <xf numFmtId="0" fontId="2" fillId="0" borderId="2" xfId="0" applyFont="1" applyBorder="1" applyAlignment="1">
      <alignment horizontal="left" vertical="center"/>
    </xf>
    <xf numFmtId="3" fontId="11" fillId="3" borderId="1" xfId="2" applyNumberFormat="1" applyFont="1" applyFill="1" applyBorder="1" applyAlignment="1">
      <alignment horizontal="center" vertical="center" wrapText="1"/>
    </xf>
    <xf numFmtId="0" fontId="2" fillId="2" borderId="1" xfId="0" applyFont="1" applyFill="1" applyBorder="1" applyAlignment="1">
      <alignment wrapText="1"/>
    </xf>
    <xf numFmtId="0" fontId="2" fillId="0" borderId="0" xfId="0" applyFont="1" applyBorder="1" applyAlignment="1">
      <alignment horizontal="left" vertical="center"/>
    </xf>
    <xf numFmtId="1" fontId="2" fillId="0" borderId="0" xfId="1" applyNumberFormat="1" applyFont="1" applyAlignment="1">
      <alignment horizontal="center" vertical="center"/>
    </xf>
    <xf numFmtId="1" fontId="2" fillId="0" borderId="2" xfId="0" applyNumberFormat="1" applyFont="1" applyBorder="1" applyAlignment="1">
      <alignment horizontal="left" vertical="center"/>
    </xf>
    <xf numFmtId="1" fontId="1" fillId="2" borderId="1"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 fontId="11" fillId="3" borderId="1" xfId="2"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1" fillId="2" borderId="1" xfId="1" applyNumberFormat="1" applyFont="1" applyFill="1" applyBorder="1" applyAlignment="1">
      <alignment horizontal="center" vertical="center"/>
    </xf>
    <xf numFmtId="1" fontId="1" fillId="2" borderId="0" xfId="1" applyNumberFormat="1" applyFont="1" applyFill="1" applyBorder="1" applyAlignment="1">
      <alignment horizontal="center" vertical="center"/>
    </xf>
    <xf numFmtId="1" fontId="6" fillId="0" borderId="0" xfId="0" applyNumberFormat="1" applyFont="1"/>
    <xf numFmtId="1" fontId="8" fillId="0" borderId="0" xfId="0" applyNumberFormat="1" applyFont="1"/>
    <xf numFmtId="0" fontId="8" fillId="0" borderId="0" xfId="0" applyFont="1" applyBorder="1"/>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64" fontId="2" fillId="2" borderId="1" xfId="1" applyNumberFormat="1" applyFont="1" applyFill="1" applyBorder="1" applyAlignment="1">
      <alignment horizontal="center" vertical="center"/>
    </xf>
    <xf numFmtId="164" fontId="11" fillId="4" borderId="1" xfId="2" applyNumberFormat="1" applyFont="1" applyFill="1" applyBorder="1" applyAlignment="1">
      <alignment horizontal="right" vertical="center"/>
    </xf>
    <xf numFmtId="164" fontId="2" fillId="2" borderId="1" xfId="1" applyNumberFormat="1" applyFont="1" applyFill="1" applyBorder="1" applyAlignment="1">
      <alignment horizontal="right" vertical="center"/>
    </xf>
    <xf numFmtId="164" fontId="1" fillId="0" borderId="1" xfId="1" applyNumberFormat="1" applyFont="1" applyFill="1" applyBorder="1" applyAlignment="1">
      <alignment horizontal="right" vertical="center" indent="1"/>
    </xf>
    <xf numFmtId="164" fontId="2" fillId="0" borderId="1" xfId="1" applyNumberFormat="1" applyFont="1" applyFill="1" applyBorder="1" applyAlignment="1">
      <alignment horizontal="right" vertical="center" indent="1"/>
    </xf>
    <xf numFmtId="164" fontId="1" fillId="2" borderId="1" xfId="1" applyNumberFormat="1" applyFont="1" applyFill="1" applyBorder="1" applyAlignment="1">
      <alignment horizontal="right" vertical="center" indent="1"/>
    </xf>
    <xf numFmtId="164" fontId="2" fillId="2" borderId="1" xfId="1" applyNumberFormat="1" applyFont="1" applyFill="1" applyBorder="1" applyAlignment="1">
      <alignment horizontal="right" vertical="center" indent="1"/>
    </xf>
    <xf numFmtId="164" fontId="1"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11" fillId="3" borderId="1" xfId="2" applyNumberFormat="1" applyFont="1" applyFill="1" applyBorder="1" applyAlignment="1">
      <alignment horizontal="center" vertical="center"/>
    </xf>
    <xf numFmtId="0" fontId="8" fillId="0" borderId="0" xfId="0" applyFont="1"/>
    <xf numFmtId="165"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left" vertical="center"/>
    </xf>
    <xf numFmtId="0" fontId="12" fillId="2" borderId="1" xfId="0" applyFont="1" applyFill="1" applyBorder="1" applyAlignment="1">
      <alignment vertical="center" wrapText="1"/>
    </xf>
    <xf numFmtId="0" fontId="13" fillId="0" borderId="1" xfId="0" applyFont="1" applyFill="1" applyBorder="1" applyAlignment="1">
      <alignment vertical="center" wrapText="1"/>
    </xf>
    <xf numFmtId="0" fontId="12" fillId="0" borderId="1" xfId="0" applyFont="1" applyBorder="1" applyAlignment="1">
      <alignment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2" borderId="1" xfId="0" applyFont="1" applyFill="1" applyBorder="1" applyAlignment="1">
      <alignment vertical="center" wrapText="1"/>
    </xf>
    <xf numFmtId="0" fontId="12" fillId="2" borderId="1" xfId="0" applyFont="1" applyFill="1" applyBorder="1" applyAlignment="1">
      <alignment vertical="center"/>
    </xf>
    <xf numFmtId="3" fontId="0" fillId="0" borderId="0" xfId="0" applyNumberFormat="1"/>
    <xf numFmtId="3" fontId="8" fillId="0" borderId="0" xfId="0" applyNumberFormat="1" applyFont="1" applyAlignment="1">
      <alignment horizontal="center"/>
    </xf>
    <xf numFmtId="3" fontId="8" fillId="0" borderId="0" xfId="0" applyNumberFormat="1" applyFont="1"/>
    <xf numFmtId="3" fontId="12" fillId="0" borderId="1" xfId="0" applyNumberFormat="1" applyFont="1" applyBorder="1" applyAlignment="1">
      <alignment vertical="center" wrapText="1"/>
    </xf>
    <xf numFmtId="3" fontId="12" fillId="0" borderId="1" xfId="0" applyNumberFormat="1" applyFont="1" applyBorder="1" applyAlignment="1">
      <alignment horizontal="center" vertical="center"/>
    </xf>
    <xf numFmtId="3" fontId="13" fillId="0" borderId="1" xfId="0" applyNumberFormat="1" applyFont="1" applyBorder="1" applyAlignment="1">
      <alignment vertical="center"/>
    </xf>
    <xf numFmtId="3" fontId="12"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3" fillId="0" borderId="1" xfId="0" applyNumberFormat="1" applyFont="1" applyBorder="1" applyAlignment="1">
      <alignment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3" fontId="12" fillId="0" borderId="1" xfId="0" applyNumberFormat="1" applyFont="1" applyBorder="1" applyAlignment="1">
      <alignment vertical="center"/>
    </xf>
    <xf numFmtId="3" fontId="12" fillId="5"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8" fillId="0" borderId="0" xfId="0" applyFont="1"/>
    <xf numFmtId="2" fontId="12" fillId="0" borderId="1" xfId="0" applyNumberFormat="1" applyFont="1" applyBorder="1" applyAlignment="1">
      <alignment horizontal="center" vertical="center" wrapText="1"/>
    </xf>
    <xf numFmtId="2" fontId="12" fillId="0" borderId="1" xfId="0" applyNumberFormat="1" applyFont="1" applyBorder="1" applyAlignment="1">
      <alignment vertical="center" wrapText="1"/>
    </xf>
    <xf numFmtId="2" fontId="13" fillId="0" borderId="1" xfId="0" applyNumberFormat="1" applyFont="1" applyBorder="1" applyAlignment="1">
      <alignment horizontal="center" vertical="center" wrapText="1"/>
    </xf>
    <xf numFmtId="2" fontId="13" fillId="0" borderId="1" xfId="0" applyNumberFormat="1" applyFont="1" applyBorder="1" applyAlignment="1">
      <alignment vertical="center" wrapText="1"/>
    </xf>
    <xf numFmtId="2" fontId="13" fillId="0" borderId="1" xfId="0" applyNumberFormat="1" applyFont="1" applyBorder="1" applyAlignment="1">
      <alignment vertical="center"/>
    </xf>
    <xf numFmtId="2" fontId="12" fillId="0" borderId="1" xfId="0" applyNumberFormat="1" applyFont="1" applyBorder="1" applyAlignment="1">
      <alignment horizontal="center" vertical="center"/>
    </xf>
    <xf numFmtId="2" fontId="12" fillId="0" borderId="1" xfId="0" applyNumberFormat="1" applyFont="1" applyBorder="1" applyAlignment="1">
      <alignment vertical="center"/>
    </xf>
    <xf numFmtId="2" fontId="13" fillId="0" borderId="1" xfId="0" applyNumberFormat="1" applyFont="1" applyBorder="1" applyAlignment="1">
      <alignment horizontal="center" vertical="center"/>
    </xf>
    <xf numFmtId="2" fontId="8" fillId="0" borderId="0" xfId="0" applyNumberFormat="1" applyFont="1" applyAlignment="1">
      <alignment horizontal="center"/>
    </xf>
    <xf numFmtId="2" fontId="8" fillId="0" borderId="0" xfId="0" applyNumberFormat="1" applyFont="1"/>
    <xf numFmtId="0" fontId="13" fillId="0" borderId="0" xfId="0" applyFont="1" applyAlignment="1">
      <alignment vertical="center"/>
    </xf>
    <xf numFmtId="4" fontId="13" fillId="0" borderId="0" xfId="0" applyNumberFormat="1" applyFont="1" applyAlignment="1">
      <alignment horizontal="center" vertical="center"/>
    </xf>
    <xf numFmtId="0" fontId="13" fillId="0" borderId="0" xfId="0" applyFont="1" applyAlignment="1">
      <alignment horizontal="center"/>
    </xf>
    <xf numFmtId="3" fontId="13" fillId="0" borderId="0" xfId="0" applyNumberFormat="1" applyFont="1" applyAlignment="1">
      <alignment horizontal="center" vertical="center"/>
    </xf>
    <xf numFmtId="3" fontId="6" fillId="0" borderId="0" xfId="0" applyNumberFormat="1" applyFont="1" applyAlignment="1">
      <alignment horizontal="center" vertical="center"/>
    </xf>
    <xf numFmtId="0" fontId="13" fillId="0" borderId="0" xfId="0" applyFont="1"/>
    <xf numFmtId="0" fontId="13" fillId="0" borderId="0" xfId="0" applyFont="1" applyAlignment="1"/>
    <xf numFmtId="0" fontId="7" fillId="0" borderId="0" xfId="0" applyFont="1"/>
    <xf numFmtId="0" fontId="0" fillId="0" borderId="0" xfId="0" applyAlignment="1">
      <alignment vertical="center"/>
    </xf>
    <xf numFmtId="0" fontId="15" fillId="0" borderId="0" xfId="0" applyFont="1" applyAlignment="1">
      <alignment vertical="center"/>
    </xf>
    <xf numFmtId="2" fontId="0" fillId="0" borderId="0" xfId="0" applyNumberFormat="1"/>
    <xf numFmtId="4" fontId="0" fillId="0" borderId="0" xfId="0" applyNumberFormat="1"/>
    <xf numFmtId="2" fontId="8" fillId="0" borderId="0" xfId="0" applyNumberFormat="1" applyFont="1" applyFill="1"/>
    <xf numFmtId="0" fontId="13" fillId="0" borderId="0" xfId="0" applyFont="1" applyFill="1" applyAlignment="1">
      <alignment vertical="center" wrapText="1"/>
    </xf>
    <xf numFmtId="3" fontId="6" fillId="0" borderId="0" xfId="0" applyNumberFormat="1" applyFont="1" applyFill="1" applyAlignment="1">
      <alignment horizontal="center" vertical="center"/>
    </xf>
    <xf numFmtId="2" fontId="5" fillId="0" borderId="0" xfId="0" applyNumberFormat="1" applyFont="1"/>
    <xf numFmtId="0" fontId="13" fillId="0" borderId="0" xfId="0" applyFont="1" applyFill="1"/>
    <xf numFmtId="2" fontId="13" fillId="0" borderId="0" xfId="0" applyNumberFormat="1" applyFont="1" applyFill="1" applyAlignment="1">
      <alignment vertical="center" wrapText="1"/>
    </xf>
    <xf numFmtId="2" fontId="14" fillId="6" borderId="3" xfId="0" applyNumberFormat="1"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2" fontId="14" fillId="6" borderId="4"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3" fontId="13" fillId="6" borderId="1" xfId="0" applyNumberFormat="1" applyFont="1" applyFill="1" applyBorder="1" applyAlignment="1">
      <alignment horizontal="center" vertical="center" wrapText="1"/>
    </xf>
    <xf numFmtId="1" fontId="13"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3" fillId="0" borderId="0" xfId="0" applyFont="1" applyAlignment="1">
      <alignment vertical="center" wrapText="1"/>
    </xf>
    <xf numFmtId="2" fontId="12" fillId="5" borderId="1"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165" fontId="2" fillId="0" borderId="0" xfId="1" applyNumberFormat="1" applyFont="1" applyAlignment="1">
      <alignment horizontal="left" vertical="center" wrapText="1"/>
    </xf>
    <xf numFmtId="0" fontId="2" fillId="0" borderId="0" xfId="0" applyFont="1" applyAlignment="1">
      <alignment horizontal="left" vertical="center" wrapText="1"/>
    </xf>
    <xf numFmtId="0" fontId="8" fillId="0" borderId="0" xfId="0" applyFont="1"/>
    <xf numFmtId="0" fontId="2" fillId="0" borderId="0" xfId="0" applyFont="1" applyAlignment="1">
      <alignment horizontal="left" wrapText="1"/>
    </xf>
    <xf numFmtId="165"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1" fillId="0" borderId="2" xfId="0" applyFont="1" applyBorder="1" applyAlignment="1">
      <alignment horizontal="center"/>
    </xf>
    <xf numFmtId="3" fontId="13" fillId="0" borderId="3" xfId="0" applyNumberFormat="1" applyFont="1" applyBorder="1" applyAlignment="1">
      <alignment horizontal="left" vertical="center" wrapText="1"/>
    </xf>
    <xf numFmtId="3" fontId="13" fillId="0" borderId="5" xfId="0" applyNumberFormat="1" applyFont="1" applyBorder="1" applyAlignment="1">
      <alignment horizontal="left" vertical="center" wrapText="1"/>
    </xf>
    <xf numFmtId="3" fontId="13" fillId="0" borderId="4" xfId="0" applyNumberFormat="1" applyFont="1" applyBorder="1" applyAlignment="1">
      <alignment horizontal="left" vertical="center" wrapText="1"/>
    </xf>
    <xf numFmtId="0" fontId="12" fillId="5" borderId="1" xfId="0"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2" fontId="12" fillId="5" borderId="3"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left"/>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xf>
    <xf numFmtId="3" fontId="13" fillId="0" borderId="3" xfId="0" applyNumberFormat="1" applyFont="1" applyBorder="1" applyAlignment="1">
      <alignment horizontal="center" vertical="center" wrapText="1"/>
    </xf>
    <xf numFmtId="3" fontId="13" fillId="0" borderId="5"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2" fontId="12" fillId="6" borderId="3" xfId="0" applyNumberFormat="1" applyFont="1" applyFill="1" applyBorder="1" applyAlignment="1">
      <alignment horizontal="center" vertical="center" wrapText="1"/>
    </xf>
    <xf numFmtId="2" fontId="12" fillId="6" borderId="4" xfId="0" applyNumberFormat="1" applyFont="1" applyFill="1" applyBorder="1" applyAlignment="1">
      <alignment horizontal="center" vertical="center" wrapText="1"/>
    </xf>
    <xf numFmtId="0" fontId="2" fillId="0" borderId="0" xfId="0" applyFont="1" applyAlignment="1">
      <alignment horizontal="right"/>
    </xf>
    <xf numFmtId="168" fontId="12" fillId="0" borderId="1" xfId="0" applyNumberFormat="1" applyFont="1" applyBorder="1" applyAlignment="1">
      <alignment horizontal="right" vertical="center" wrapText="1"/>
    </xf>
    <xf numFmtId="168" fontId="14" fillId="0" borderId="1" xfId="0" applyNumberFormat="1" applyFont="1" applyBorder="1" applyAlignment="1">
      <alignment horizontal="right" vertical="center" wrapText="1"/>
    </xf>
    <xf numFmtId="168" fontId="12" fillId="0" borderId="1" xfId="0" applyNumberFormat="1" applyFont="1" applyFill="1" applyBorder="1" applyAlignment="1">
      <alignment horizontal="right" vertical="center" wrapText="1"/>
    </xf>
    <xf numFmtId="170" fontId="12" fillId="0" borderId="1" xfId="0" applyNumberFormat="1" applyFont="1" applyBorder="1" applyAlignment="1">
      <alignment horizontal="right" vertical="center" wrapText="1"/>
    </xf>
    <xf numFmtId="170" fontId="13" fillId="0" borderId="1" xfId="0" applyNumberFormat="1" applyFont="1" applyBorder="1" applyAlignment="1">
      <alignment horizontal="right" vertical="center" wrapText="1"/>
    </xf>
    <xf numFmtId="168" fontId="13" fillId="0" borderId="1" xfId="0" applyNumberFormat="1" applyFont="1" applyBorder="1" applyAlignment="1">
      <alignment horizontal="right" vertical="center" wrapText="1"/>
    </xf>
    <xf numFmtId="170" fontId="6" fillId="0" borderId="1" xfId="0" applyNumberFormat="1" applyFont="1" applyBorder="1" applyAlignment="1">
      <alignment horizontal="right" vertical="center" wrapText="1"/>
    </xf>
    <xf numFmtId="168" fontId="13" fillId="0" borderId="1" xfId="0" applyNumberFormat="1" applyFont="1" applyFill="1" applyBorder="1" applyAlignment="1">
      <alignment horizontal="right" vertical="center" wrapText="1"/>
    </xf>
    <xf numFmtId="170" fontId="13" fillId="0" borderId="1" xfId="0" applyNumberFormat="1" applyFont="1" applyFill="1" applyBorder="1" applyAlignment="1">
      <alignment horizontal="right" vertical="center" wrapText="1"/>
    </xf>
    <xf numFmtId="168" fontId="13" fillId="0" borderId="1" xfId="0" applyNumberFormat="1" applyFont="1" applyBorder="1" applyAlignment="1">
      <alignment horizontal="right" vertical="center"/>
    </xf>
    <xf numFmtId="170" fontId="13" fillId="0" borderId="1" xfId="0" applyNumberFormat="1" applyFont="1" applyBorder="1" applyAlignment="1">
      <alignment horizontal="right" vertical="center"/>
    </xf>
    <xf numFmtId="170" fontId="12" fillId="0" borderId="1" xfId="0" applyNumberFormat="1" applyFont="1" applyBorder="1" applyAlignment="1">
      <alignment horizontal="right" vertical="center"/>
    </xf>
    <xf numFmtId="170" fontId="14" fillId="0" borderId="1" xfId="0" applyNumberFormat="1" applyFont="1" applyBorder="1" applyAlignment="1">
      <alignment horizontal="right" vertical="center"/>
    </xf>
    <xf numFmtId="170" fontId="12" fillId="0" borderId="1" xfId="0" applyNumberFormat="1" applyFont="1" applyFill="1" applyBorder="1" applyAlignment="1">
      <alignment horizontal="right" vertical="center" wrapText="1"/>
    </xf>
    <xf numFmtId="168" fontId="12" fillId="0" borderId="1" xfId="0" applyNumberFormat="1" applyFont="1" applyBorder="1" applyAlignment="1">
      <alignment horizontal="right" vertical="center"/>
    </xf>
    <xf numFmtId="168" fontId="14" fillId="0" borderId="1" xfId="0" applyNumberFormat="1" applyFont="1" applyBorder="1" applyAlignment="1">
      <alignment horizontal="right" vertical="center"/>
    </xf>
    <xf numFmtId="170" fontId="6" fillId="0" borderId="1" xfId="0" applyNumberFormat="1" applyFont="1" applyBorder="1" applyAlignment="1">
      <alignment horizontal="right" vertical="center"/>
    </xf>
    <xf numFmtId="168" fontId="6" fillId="0" borderId="1" xfId="0" applyNumberFormat="1" applyFont="1" applyBorder="1" applyAlignment="1">
      <alignment horizontal="right" vertical="center"/>
    </xf>
    <xf numFmtId="168" fontId="12" fillId="0" borderId="1" xfId="0" applyNumberFormat="1" applyFont="1" applyFill="1" applyBorder="1" applyAlignment="1">
      <alignment horizontal="right" vertical="center"/>
    </xf>
  </cellXfs>
  <cellStyles count="3">
    <cellStyle name="Excel Built-in Normal"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95;&#1077;&#1090;%20&#1043;&#1062;%20&#847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смета ГЦ"/>
      <sheetName val="ЗП 2020"/>
      <sheetName val="2020 смета ГЦ (2)"/>
      <sheetName val="Отчет №1"/>
      <sheetName val="Отчет №2 (2)"/>
      <sheetName val="Отчет №3"/>
      <sheetName val="Отчет №4"/>
    </sheetNames>
    <sheetDataSet>
      <sheetData sheetId="0" refreshError="1"/>
      <sheetData sheetId="1" refreshError="1"/>
      <sheetData sheetId="2">
        <row r="9">
          <cell r="F9">
            <v>2727400.25</v>
          </cell>
        </row>
        <row r="10">
          <cell r="F10">
            <v>2275000</v>
          </cell>
        </row>
        <row r="11">
          <cell r="F11">
            <v>455000</v>
          </cell>
        </row>
        <row r="12">
          <cell r="F12">
            <v>455000</v>
          </cell>
        </row>
        <row r="13">
          <cell r="F13">
            <v>455000</v>
          </cell>
        </row>
        <row r="14">
          <cell r="F14">
            <v>455000</v>
          </cell>
        </row>
        <row r="15">
          <cell r="F15">
            <v>455000</v>
          </cell>
        </row>
        <row r="16">
          <cell r="F16">
            <v>192351.25</v>
          </cell>
        </row>
        <row r="17">
          <cell r="F17">
            <v>45500</v>
          </cell>
        </row>
        <row r="18">
          <cell r="F18">
            <v>14549</v>
          </cell>
        </row>
        <row r="19">
          <cell r="F19">
            <v>200000</v>
          </cell>
        </row>
        <row r="20">
          <cell r="F20">
            <v>100000</v>
          </cell>
        </row>
        <row r="21">
          <cell r="F21">
            <v>100000</v>
          </cell>
        </row>
        <row r="22">
          <cell r="F22">
            <v>350000</v>
          </cell>
        </row>
        <row r="23">
          <cell r="F23">
            <v>180000</v>
          </cell>
        </row>
        <row r="24">
          <cell r="F24">
            <v>20000</v>
          </cell>
        </row>
        <row r="25">
          <cell r="F25">
            <v>150000</v>
          </cell>
        </row>
        <row r="26">
          <cell r="F26">
            <v>769400</v>
          </cell>
        </row>
        <row r="27">
          <cell r="F27">
            <v>200000</v>
          </cell>
        </row>
        <row r="28">
          <cell r="F28">
            <v>200000</v>
          </cell>
        </row>
        <row r="29">
          <cell r="F29">
            <v>70000</v>
          </cell>
        </row>
        <row r="30">
          <cell r="F30">
            <v>30000</v>
          </cell>
        </row>
        <row r="31">
          <cell r="F31">
            <v>100000</v>
          </cell>
        </row>
        <row r="32">
          <cell r="F32">
            <v>129400</v>
          </cell>
        </row>
        <row r="33">
          <cell r="F33">
            <v>29400</v>
          </cell>
        </row>
        <row r="34">
          <cell r="F34">
            <v>16800</v>
          </cell>
        </row>
        <row r="35">
          <cell r="F35">
            <v>2400</v>
          </cell>
        </row>
        <row r="36">
          <cell r="F36">
            <v>10200</v>
          </cell>
        </row>
        <row r="37">
          <cell r="F37">
            <v>100000</v>
          </cell>
        </row>
        <row r="38">
          <cell r="F38">
            <v>100000</v>
          </cell>
        </row>
        <row r="39">
          <cell r="F39">
            <v>440000</v>
          </cell>
        </row>
        <row r="40">
          <cell r="F40">
            <v>120000</v>
          </cell>
        </row>
        <row r="41">
          <cell r="F41">
            <v>120000</v>
          </cell>
        </row>
        <row r="42">
          <cell r="F42">
            <v>320000</v>
          </cell>
        </row>
        <row r="43">
          <cell r="F43">
            <v>320000</v>
          </cell>
        </row>
        <row r="44">
          <cell r="F44">
            <v>3846800.25</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64"/>
  <sheetViews>
    <sheetView view="pageBreakPreview" zoomScale="70" zoomScaleNormal="70" zoomScaleSheetLayoutView="70" workbookViewId="0">
      <selection activeCell="G11" sqref="G11"/>
    </sheetView>
  </sheetViews>
  <sheetFormatPr defaultColWidth="8.85546875" defaultRowHeight="15.75" x14ac:dyDescent="0.25"/>
  <cols>
    <col min="1" max="1" width="7" style="4" customWidth="1"/>
    <col min="2" max="2" width="51.85546875" style="4" customWidth="1"/>
    <col min="3" max="3" width="12.5703125" style="6" customWidth="1"/>
    <col min="4" max="4" width="13.42578125" style="62" customWidth="1"/>
    <col min="5" max="5" width="20.28515625" style="15" customWidth="1"/>
    <col min="6" max="6" width="17.140625" style="30" customWidth="1"/>
    <col min="7" max="8" width="21.85546875" style="15" customWidth="1"/>
    <col min="9" max="9" width="21.85546875" style="30" customWidth="1"/>
    <col min="10" max="10" width="8.42578125" style="52" customWidth="1"/>
    <col min="11" max="11" width="8.85546875" style="52" hidden="1" customWidth="1"/>
    <col min="12" max="16384" width="8.85546875" style="52"/>
  </cols>
  <sheetData>
    <row r="1" spans="1:9" ht="56.25" customHeight="1" x14ac:dyDescent="0.25">
      <c r="G1" s="158" t="s">
        <v>78</v>
      </c>
      <c r="H1" s="158"/>
      <c r="I1" s="158"/>
    </row>
    <row r="2" spans="1:9" x14ac:dyDescent="0.25">
      <c r="A2" s="168" t="s">
        <v>36</v>
      </c>
      <c r="B2" s="168"/>
      <c r="C2" s="168"/>
      <c r="D2" s="168"/>
      <c r="E2" s="168"/>
      <c r="F2" s="168"/>
      <c r="G2" s="168"/>
      <c r="H2" s="168"/>
      <c r="I2" s="168"/>
    </row>
    <row r="3" spans="1:9" x14ac:dyDescent="0.25">
      <c r="A3" s="169" t="s">
        <v>47</v>
      </c>
      <c r="B3" s="169"/>
      <c r="C3" s="169"/>
      <c r="D3" s="169"/>
      <c r="E3" s="169"/>
      <c r="F3" s="169"/>
      <c r="G3" s="169"/>
      <c r="H3" s="169"/>
      <c r="I3" s="169"/>
    </row>
    <row r="4" spans="1:9" s="73" customFormat="1" x14ac:dyDescent="0.25">
      <c r="A4" s="170" t="s">
        <v>87</v>
      </c>
      <c r="B4" s="170"/>
      <c r="C4" s="170"/>
      <c r="D4" s="170"/>
      <c r="E4" s="170"/>
      <c r="F4" s="170"/>
      <c r="G4" s="170"/>
      <c r="H4" s="170"/>
      <c r="I4" s="170"/>
    </row>
    <row r="5" spans="1:9" s="73" customFormat="1" x14ac:dyDescent="0.25">
      <c r="A5" s="171" t="s">
        <v>48</v>
      </c>
      <c r="B5" s="171"/>
      <c r="C5" s="171"/>
      <c r="D5" s="171"/>
      <c r="E5" s="171"/>
      <c r="F5" s="171"/>
      <c r="G5" s="171"/>
      <c r="H5" s="171"/>
      <c r="I5" s="171"/>
    </row>
    <row r="6" spans="1:9" x14ac:dyDescent="0.25">
      <c r="A6" s="58"/>
      <c r="B6" s="61"/>
      <c r="C6" s="58"/>
      <c r="D6" s="63"/>
      <c r="E6" s="58"/>
      <c r="F6" s="58"/>
      <c r="G6" s="58"/>
      <c r="H6" s="58"/>
      <c r="I6" s="58"/>
    </row>
    <row r="7" spans="1:9" x14ac:dyDescent="0.25">
      <c r="A7" s="163" t="s">
        <v>0</v>
      </c>
      <c r="B7" s="164" t="s">
        <v>49</v>
      </c>
      <c r="C7" s="166" t="s">
        <v>1</v>
      </c>
      <c r="D7" s="167" t="s">
        <v>2</v>
      </c>
      <c r="E7" s="162" t="s">
        <v>3</v>
      </c>
      <c r="F7" s="162" t="s">
        <v>46</v>
      </c>
      <c r="G7" s="162" t="s">
        <v>4</v>
      </c>
      <c r="H7" s="162"/>
      <c r="I7" s="162"/>
    </row>
    <row r="8" spans="1:9" ht="61.35" customHeight="1" x14ac:dyDescent="0.25">
      <c r="A8" s="163"/>
      <c r="B8" s="165"/>
      <c r="C8" s="166"/>
      <c r="D8" s="167"/>
      <c r="E8" s="162"/>
      <c r="F8" s="162"/>
      <c r="G8" s="41" t="s">
        <v>5</v>
      </c>
      <c r="H8" s="41" t="s">
        <v>6</v>
      </c>
      <c r="I8" s="41" t="s">
        <v>7</v>
      </c>
    </row>
    <row r="9" spans="1:9" x14ac:dyDescent="0.25">
      <c r="A9" s="42">
        <v>1</v>
      </c>
      <c r="B9" s="37" t="s">
        <v>8</v>
      </c>
      <c r="C9" s="43"/>
      <c r="D9" s="64"/>
      <c r="E9" s="23"/>
      <c r="F9" s="81">
        <f>F10+F16+F17+F18+F19</f>
        <v>2727400.25</v>
      </c>
      <c r="G9" s="23"/>
      <c r="H9" s="23"/>
      <c r="I9" s="81">
        <f>I10+I16+I17+I18+I19</f>
        <v>2727400.25</v>
      </c>
    </row>
    <row r="10" spans="1:9" x14ac:dyDescent="0.25">
      <c r="A10" s="42"/>
      <c r="B10" s="37" t="s">
        <v>42</v>
      </c>
      <c r="C10" s="43"/>
      <c r="D10" s="64"/>
      <c r="E10" s="23"/>
      <c r="F10" s="81">
        <f>F11+F12+F14+F13+F15</f>
        <v>2275000</v>
      </c>
      <c r="G10" s="23"/>
      <c r="H10" s="23"/>
      <c r="I10" s="81">
        <f>SUM(I11:I15)</f>
        <v>2275000</v>
      </c>
    </row>
    <row r="11" spans="1:9" x14ac:dyDescent="0.25">
      <c r="A11" s="2"/>
      <c r="B11" s="21" t="s">
        <v>67</v>
      </c>
      <c r="C11" s="3" t="s">
        <v>65</v>
      </c>
      <c r="D11" s="65">
        <v>10</v>
      </c>
      <c r="E11" s="76">
        <f>'ЗП 2020'!D8</f>
        <v>45500</v>
      </c>
      <c r="F11" s="82">
        <f>D11*E11</f>
        <v>455000</v>
      </c>
      <c r="G11" s="24"/>
      <c r="H11" s="24"/>
      <c r="I11" s="82">
        <f>F11</f>
        <v>455000</v>
      </c>
    </row>
    <row r="12" spans="1:9" x14ac:dyDescent="0.25">
      <c r="A12" s="2"/>
      <c r="B12" s="21" t="s">
        <v>68</v>
      </c>
      <c r="C12" s="3" t="s">
        <v>65</v>
      </c>
      <c r="D12" s="65">
        <v>10</v>
      </c>
      <c r="E12" s="76">
        <f>'ЗП 2020'!D9</f>
        <v>45500</v>
      </c>
      <c r="F12" s="82">
        <f t="shared" ref="F12:F15" si="0">D12*E12</f>
        <v>455000</v>
      </c>
      <c r="G12" s="24"/>
      <c r="H12" s="24"/>
      <c r="I12" s="82">
        <f t="shared" ref="I12:I15" si="1">F12</f>
        <v>455000</v>
      </c>
    </row>
    <row r="13" spans="1:9" x14ac:dyDescent="0.25">
      <c r="A13" s="2"/>
      <c r="B13" s="21" t="s">
        <v>69</v>
      </c>
      <c r="C13" s="3" t="s">
        <v>65</v>
      </c>
      <c r="D13" s="65">
        <v>10</v>
      </c>
      <c r="E13" s="76">
        <f>'ЗП 2020'!D10</f>
        <v>45500</v>
      </c>
      <c r="F13" s="82">
        <f t="shared" si="0"/>
        <v>455000</v>
      </c>
      <c r="G13" s="24"/>
      <c r="H13" s="24"/>
      <c r="I13" s="82">
        <f t="shared" si="1"/>
        <v>455000</v>
      </c>
    </row>
    <row r="14" spans="1:9" x14ac:dyDescent="0.25">
      <c r="A14" s="2"/>
      <c r="B14" s="21" t="s">
        <v>70</v>
      </c>
      <c r="C14" s="3" t="s">
        <v>65</v>
      </c>
      <c r="D14" s="65">
        <v>10</v>
      </c>
      <c r="E14" s="76">
        <f>'ЗП 2020'!D11</f>
        <v>45500</v>
      </c>
      <c r="F14" s="82">
        <f t="shared" si="0"/>
        <v>455000</v>
      </c>
      <c r="G14" s="24"/>
      <c r="H14" s="24"/>
      <c r="I14" s="82">
        <f t="shared" si="1"/>
        <v>455000</v>
      </c>
    </row>
    <row r="15" spans="1:9" x14ac:dyDescent="0.25">
      <c r="A15" s="2"/>
      <c r="B15" s="21" t="s">
        <v>71</v>
      </c>
      <c r="C15" s="3" t="s">
        <v>65</v>
      </c>
      <c r="D15" s="65">
        <v>10</v>
      </c>
      <c r="E15" s="76">
        <f>'ЗП 2020'!D12</f>
        <v>45500</v>
      </c>
      <c r="F15" s="82">
        <f t="shared" si="0"/>
        <v>455000</v>
      </c>
      <c r="G15" s="24"/>
      <c r="H15" s="24"/>
      <c r="I15" s="82">
        <f t="shared" si="1"/>
        <v>455000</v>
      </c>
    </row>
    <row r="16" spans="1:9" s="57" customFormat="1" x14ac:dyDescent="0.25">
      <c r="A16" s="18"/>
      <c r="B16" s="8" t="s">
        <v>43</v>
      </c>
      <c r="C16" s="3" t="s">
        <v>65</v>
      </c>
      <c r="D16" s="66">
        <v>10</v>
      </c>
      <c r="E16" s="83">
        <f>'ЗП 2020'!K13+'ЗП 2020'!L13</f>
        <v>19235.125</v>
      </c>
      <c r="F16" s="79">
        <f>D16*E16</f>
        <v>192351.25</v>
      </c>
      <c r="G16" s="25"/>
      <c r="H16" s="25"/>
      <c r="I16" s="79">
        <f>F16</f>
        <v>192351.25</v>
      </c>
    </row>
    <row r="17" spans="1:9" s="57" customFormat="1" ht="36" customHeight="1" x14ac:dyDescent="0.25">
      <c r="A17" s="18"/>
      <c r="B17" s="37" t="s">
        <v>85</v>
      </c>
      <c r="C17" s="3" t="s">
        <v>65</v>
      </c>
      <c r="D17" s="66">
        <v>10</v>
      </c>
      <c r="E17" s="83">
        <f>'ЗП 2020'!J13</f>
        <v>4550</v>
      </c>
      <c r="F17" s="79">
        <f>D17*E17</f>
        <v>45500</v>
      </c>
      <c r="G17" s="25"/>
      <c r="H17" s="25"/>
      <c r="I17" s="79">
        <f t="shared" ref="I17:I18" si="2">F17</f>
        <v>45500</v>
      </c>
    </row>
    <row r="18" spans="1:9" s="57" customFormat="1" x14ac:dyDescent="0.25">
      <c r="A18" s="18"/>
      <c r="B18" s="8" t="s">
        <v>44</v>
      </c>
      <c r="C18" s="3" t="s">
        <v>65</v>
      </c>
      <c r="D18" s="66">
        <v>10</v>
      </c>
      <c r="E18" s="83">
        <v>1454.9</v>
      </c>
      <c r="F18" s="79">
        <f>D18*E18</f>
        <v>14549</v>
      </c>
      <c r="G18" s="25"/>
      <c r="H18" s="25"/>
      <c r="I18" s="79">
        <f t="shared" si="2"/>
        <v>14549</v>
      </c>
    </row>
    <row r="19" spans="1:9" s="57" customFormat="1" x14ac:dyDescent="0.25">
      <c r="A19" s="18"/>
      <c r="B19" s="74" t="s">
        <v>86</v>
      </c>
      <c r="C19" s="19"/>
      <c r="D19" s="66"/>
      <c r="E19" s="83"/>
      <c r="F19" s="79">
        <f>F21+F20</f>
        <v>200000</v>
      </c>
      <c r="G19" s="25"/>
      <c r="H19" s="25"/>
      <c r="I19" s="79">
        <f t="shared" ref="I19:I38" si="3">F19</f>
        <v>200000</v>
      </c>
    </row>
    <row r="20" spans="1:9" s="57" customFormat="1" x14ac:dyDescent="0.25">
      <c r="A20" s="18"/>
      <c r="B20" s="75" t="s">
        <v>88</v>
      </c>
      <c r="C20" s="22" t="s">
        <v>65</v>
      </c>
      <c r="D20" s="66">
        <v>10</v>
      </c>
      <c r="E20" s="84">
        <v>10000</v>
      </c>
      <c r="F20" s="80">
        <f>D20*E20</f>
        <v>100000</v>
      </c>
      <c r="G20" s="25"/>
      <c r="H20" s="25"/>
      <c r="I20" s="80">
        <f>F20</f>
        <v>100000</v>
      </c>
    </row>
    <row r="21" spans="1:9" s="57" customFormat="1" x14ac:dyDescent="0.25">
      <c r="A21" s="20"/>
      <c r="B21" s="21" t="s">
        <v>50</v>
      </c>
      <c r="C21" s="22" t="s">
        <v>65</v>
      </c>
      <c r="D21" s="66">
        <v>10</v>
      </c>
      <c r="E21" s="84">
        <v>10000</v>
      </c>
      <c r="F21" s="80">
        <f>D21*E21</f>
        <v>100000</v>
      </c>
      <c r="G21" s="26"/>
      <c r="H21" s="26"/>
      <c r="I21" s="80">
        <f>F21</f>
        <v>100000</v>
      </c>
    </row>
    <row r="22" spans="1:9" x14ac:dyDescent="0.25">
      <c r="A22" s="42">
        <v>2</v>
      </c>
      <c r="B22" s="37" t="s">
        <v>82</v>
      </c>
      <c r="C22" s="43"/>
      <c r="D22" s="64"/>
      <c r="E22" s="27"/>
      <c r="F22" s="81">
        <f>F24+F25+F23</f>
        <v>350000</v>
      </c>
      <c r="G22" s="23"/>
      <c r="H22" s="23"/>
      <c r="I22" s="81">
        <f>I24+I25+I23</f>
        <v>350000</v>
      </c>
    </row>
    <row r="23" spans="1:9" x14ac:dyDescent="0.25">
      <c r="A23" s="55"/>
      <c r="B23" s="60" t="s">
        <v>79</v>
      </c>
      <c r="C23" s="59" t="s">
        <v>76</v>
      </c>
      <c r="D23" s="67">
        <v>1</v>
      </c>
      <c r="E23" s="85">
        <v>180000</v>
      </c>
      <c r="F23" s="77">
        <f t="shared" ref="F23:F24" si="4">D23*E23</f>
        <v>180000</v>
      </c>
      <c r="G23" s="23"/>
      <c r="H23" s="23"/>
      <c r="I23" s="80">
        <f>F23</f>
        <v>180000</v>
      </c>
    </row>
    <row r="24" spans="1:9" s="57" customFormat="1" x14ac:dyDescent="0.25">
      <c r="A24" s="20"/>
      <c r="B24" s="60" t="s">
        <v>80</v>
      </c>
      <c r="C24" s="59" t="s">
        <v>76</v>
      </c>
      <c r="D24" s="67">
        <v>1</v>
      </c>
      <c r="E24" s="85">
        <v>20000</v>
      </c>
      <c r="F24" s="77">
        <f t="shared" si="4"/>
        <v>20000</v>
      </c>
      <c r="G24" s="26"/>
      <c r="H24" s="26"/>
      <c r="I24" s="80">
        <f>F24</f>
        <v>20000</v>
      </c>
    </row>
    <row r="25" spans="1:9" x14ac:dyDescent="0.25">
      <c r="A25" s="2"/>
      <c r="B25" s="1" t="s">
        <v>81</v>
      </c>
      <c r="C25" s="59" t="s">
        <v>76</v>
      </c>
      <c r="D25" s="68">
        <v>1</v>
      </c>
      <c r="E25" s="76">
        <v>150000</v>
      </c>
      <c r="F25" s="78">
        <f t="shared" ref="F25" si="5">D25*E25</f>
        <v>150000</v>
      </c>
      <c r="G25" s="24"/>
      <c r="H25" s="24"/>
      <c r="I25" s="82">
        <f>F25</f>
        <v>150000</v>
      </c>
    </row>
    <row r="26" spans="1:9" x14ac:dyDescent="0.25">
      <c r="A26" s="42">
        <v>3</v>
      </c>
      <c r="B26" s="37" t="s">
        <v>9</v>
      </c>
      <c r="C26" s="43"/>
      <c r="D26" s="64"/>
      <c r="E26" s="27"/>
      <c r="F26" s="81">
        <f>F27+F32+F39</f>
        <v>769400</v>
      </c>
      <c r="G26" s="23"/>
      <c r="H26" s="23"/>
      <c r="I26" s="81">
        <f>I27+I32+I39</f>
        <v>769400</v>
      </c>
    </row>
    <row r="27" spans="1:9" ht="31.5" x14ac:dyDescent="0.25">
      <c r="A27" s="42"/>
      <c r="B27" s="37" t="s">
        <v>83</v>
      </c>
      <c r="C27" s="43"/>
      <c r="D27" s="64"/>
      <c r="E27" s="27"/>
      <c r="F27" s="81">
        <f>+F28</f>
        <v>200000</v>
      </c>
      <c r="G27" s="23"/>
      <c r="H27" s="23"/>
      <c r="I27" s="81">
        <f>I28</f>
        <v>200000</v>
      </c>
    </row>
    <row r="28" spans="1:9" ht="54" customHeight="1" x14ac:dyDescent="0.25">
      <c r="A28" s="42"/>
      <c r="B28" s="37" t="s">
        <v>41</v>
      </c>
      <c r="C28" s="43"/>
      <c r="D28" s="64"/>
      <c r="E28" s="27"/>
      <c r="F28" s="81">
        <f>F29+F30+F31</f>
        <v>200000</v>
      </c>
      <c r="G28" s="23"/>
      <c r="H28" s="23"/>
      <c r="I28" s="81">
        <f>SUM(I29:I31)</f>
        <v>200000</v>
      </c>
    </row>
    <row r="29" spans="1:9" s="57" customFormat="1" x14ac:dyDescent="0.25">
      <c r="A29" s="20"/>
      <c r="B29" s="21" t="s">
        <v>60</v>
      </c>
      <c r="C29" s="22" t="s">
        <v>59</v>
      </c>
      <c r="D29" s="66">
        <v>1</v>
      </c>
      <c r="E29" s="84">
        <v>70000</v>
      </c>
      <c r="F29" s="80">
        <f t="shared" ref="F29" si="6">D29*E29</f>
        <v>70000</v>
      </c>
      <c r="G29" s="26"/>
      <c r="H29" s="26"/>
      <c r="I29" s="80">
        <f t="shared" si="3"/>
        <v>70000</v>
      </c>
    </row>
    <row r="30" spans="1:9" s="57" customFormat="1" x14ac:dyDescent="0.25">
      <c r="A30" s="20"/>
      <c r="B30" s="21" t="s">
        <v>61</v>
      </c>
      <c r="C30" s="22" t="s">
        <v>59</v>
      </c>
      <c r="D30" s="66">
        <v>1</v>
      </c>
      <c r="E30" s="84">
        <v>30000</v>
      </c>
      <c r="F30" s="80">
        <f t="shared" ref="F30" si="7">D30*E30</f>
        <v>30000</v>
      </c>
      <c r="G30" s="26"/>
      <c r="H30" s="26"/>
      <c r="I30" s="80">
        <f t="shared" si="3"/>
        <v>30000</v>
      </c>
    </row>
    <row r="31" spans="1:9" s="57" customFormat="1" x14ac:dyDescent="0.25">
      <c r="A31" s="20"/>
      <c r="B31" s="21" t="s">
        <v>89</v>
      </c>
      <c r="C31" s="22" t="s">
        <v>59</v>
      </c>
      <c r="D31" s="66">
        <v>2</v>
      </c>
      <c r="E31" s="84">
        <v>50000</v>
      </c>
      <c r="F31" s="80">
        <f>D31*E31</f>
        <v>100000</v>
      </c>
      <c r="G31" s="26"/>
      <c r="H31" s="26"/>
      <c r="I31" s="80">
        <f>F31</f>
        <v>100000</v>
      </c>
    </row>
    <row r="32" spans="1:9" x14ac:dyDescent="0.25">
      <c r="A32" s="42"/>
      <c r="B32" s="37" t="s">
        <v>84</v>
      </c>
      <c r="C32" s="43"/>
      <c r="D32" s="64"/>
      <c r="E32" s="27"/>
      <c r="F32" s="81">
        <f>F33+F37</f>
        <v>129400</v>
      </c>
      <c r="G32" s="23"/>
      <c r="H32" s="23"/>
      <c r="I32" s="81">
        <f>I33+I37</f>
        <v>129400</v>
      </c>
    </row>
    <row r="33" spans="1:9" ht="31.5" x14ac:dyDescent="0.25">
      <c r="A33" s="42"/>
      <c r="B33" s="37" t="s">
        <v>40</v>
      </c>
      <c r="C33" s="43"/>
      <c r="D33" s="64"/>
      <c r="E33" s="27"/>
      <c r="F33" s="81">
        <f>F34+F35+F36</f>
        <v>29400</v>
      </c>
      <c r="G33" s="23"/>
      <c r="H33" s="23"/>
      <c r="I33" s="81">
        <f>SUM(I34:I36)</f>
        <v>29400</v>
      </c>
    </row>
    <row r="34" spans="1:9" x14ac:dyDescent="0.25">
      <c r="A34" s="2"/>
      <c r="B34" s="1" t="s">
        <v>37</v>
      </c>
      <c r="C34" s="3" t="s">
        <v>72</v>
      </c>
      <c r="D34" s="65">
        <v>60</v>
      </c>
      <c r="E34" s="76">
        <v>280</v>
      </c>
      <c r="F34" s="82">
        <f>D34*E34</f>
        <v>16800</v>
      </c>
      <c r="G34" s="24"/>
      <c r="H34" s="24"/>
      <c r="I34" s="82">
        <f t="shared" si="3"/>
        <v>16800</v>
      </c>
    </row>
    <row r="35" spans="1:9" x14ac:dyDescent="0.25">
      <c r="A35" s="2"/>
      <c r="B35" s="1" t="s">
        <v>38</v>
      </c>
      <c r="C35" s="3" t="s">
        <v>72</v>
      </c>
      <c r="D35" s="65">
        <v>60</v>
      </c>
      <c r="E35" s="76">
        <v>40</v>
      </c>
      <c r="F35" s="82">
        <f>D35*E35</f>
        <v>2400</v>
      </c>
      <c r="G35" s="24"/>
      <c r="H35" s="24"/>
      <c r="I35" s="82">
        <f t="shared" si="3"/>
        <v>2400</v>
      </c>
    </row>
    <row r="36" spans="1:9" x14ac:dyDescent="0.25">
      <c r="A36" s="2"/>
      <c r="B36" s="1" t="s">
        <v>39</v>
      </c>
      <c r="C36" s="3" t="s">
        <v>72</v>
      </c>
      <c r="D36" s="65">
        <v>60</v>
      </c>
      <c r="E36" s="76">
        <v>170</v>
      </c>
      <c r="F36" s="82">
        <f>D36*E36</f>
        <v>10200</v>
      </c>
      <c r="G36" s="24"/>
      <c r="H36" s="24"/>
      <c r="I36" s="82">
        <f t="shared" si="3"/>
        <v>10200</v>
      </c>
    </row>
    <row r="37" spans="1:9" ht="47.25" x14ac:dyDescent="0.25">
      <c r="A37" s="2"/>
      <c r="B37" s="37" t="s">
        <v>41</v>
      </c>
      <c r="C37" s="3"/>
      <c r="D37" s="65"/>
      <c r="E37" s="76"/>
      <c r="F37" s="81">
        <f>F38</f>
        <v>100000</v>
      </c>
      <c r="G37" s="23"/>
      <c r="H37" s="23"/>
      <c r="I37" s="81">
        <f>I38</f>
        <v>100000</v>
      </c>
    </row>
    <row r="38" spans="1:9" s="57" customFormat="1" x14ac:dyDescent="0.25">
      <c r="A38" s="20"/>
      <c r="B38" s="21" t="s">
        <v>45</v>
      </c>
      <c r="C38" s="22" t="s">
        <v>59</v>
      </c>
      <c r="D38" s="66">
        <v>2</v>
      </c>
      <c r="E38" s="84">
        <v>50000</v>
      </c>
      <c r="F38" s="80">
        <f t="shared" ref="F38" si="8">D38*E38</f>
        <v>100000</v>
      </c>
      <c r="G38" s="26"/>
      <c r="H38" s="26"/>
      <c r="I38" s="80">
        <f t="shared" si="3"/>
        <v>100000</v>
      </c>
    </row>
    <row r="39" spans="1:9" x14ac:dyDescent="0.25">
      <c r="A39" s="42"/>
      <c r="B39" s="37" t="s">
        <v>58</v>
      </c>
      <c r="C39" s="43"/>
      <c r="D39" s="64"/>
      <c r="E39" s="27"/>
      <c r="F39" s="81">
        <f>F40+F42</f>
        <v>440000</v>
      </c>
      <c r="G39" s="23"/>
      <c r="H39" s="23"/>
      <c r="I39" s="81">
        <f>I40+I42</f>
        <v>440000</v>
      </c>
    </row>
    <row r="40" spans="1:9" ht="31.5" x14ac:dyDescent="0.25">
      <c r="A40" s="42"/>
      <c r="B40" s="37" t="s">
        <v>40</v>
      </c>
      <c r="C40" s="43"/>
      <c r="D40" s="64"/>
      <c r="E40" s="27"/>
      <c r="F40" s="81">
        <f>F41</f>
        <v>120000</v>
      </c>
      <c r="G40" s="23"/>
      <c r="H40" s="23"/>
      <c r="I40" s="81">
        <f t="shared" ref="I40:I43" si="9">F40</f>
        <v>120000</v>
      </c>
    </row>
    <row r="41" spans="1:9" ht="36" customHeight="1" x14ac:dyDescent="0.25">
      <c r="A41" s="2"/>
      <c r="B41" s="21" t="s">
        <v>90</v>
      </c>
      <c r="C41" s="3" t="s">
        <v>59</v>
      </c>
      <c r="D41" s="65">
        <v>1</v>
      </c>
      <c r="E41" s="76">
        <v>120000</v>
      </c>
      <c r="F41" s="82">
        <f>D41*E41</f>
        <v>120000</v>
      </c>
      <c r="G41" s="24"/>
      <c r="H41" s="24"/>
      <c r="I41" s="82">
        <f t="shared" si="9"/>
        <v>120000</v>
      </c>
    </row>
    <row r="42" spans="1:9" x14ac:dyDescent="0.25">
      <c r="A42" s="2"/>
      <c r="B42" s="37" t="s">
        <v>91</v>
      </c>
      <c r="C42" s="43"/>
      <c r="D42" s="64"/>
      <c r="E42" s="27"/>
      <c r="F42" s="81">
        <f>F43</f>
        <v>320000</v>
      </c>
      <c r="G42" s="28"/>
      <c r="H42" s="28"/>
      <c r="I42" s="81">
        <f t="shared" si="9"/>
        <v>320000</v>
      </c>
    </row>
    <row r="43" spans="1:9" x14ac:dyDescent="0.25">
      <c r="A43" s="2"/>
      <c r="B43" s="21" t="s">
        <v>66</v>
      </c>
      <c r="C43" s="3" t="s">
        <v>59</v>
      </c>
      <c r="D43" s="65">
        <v>8</v>
      </c>
      <c r="E43" s="76">
        <v>40000</v>
      </c>
      <c r="F43" s="82">
        <f t="shared" ref="F43" si="10">D43*E43</f>
        <v>320000</v>
      </c>
      <c r="G43" s="29"/>
      <c r="H43" s="29"/>
      <c r="I43" s="82">
        <f t="shared" si="9"/>
        <v>320000</v>
      </c>
    </row>
    <row r="44" spans="1:9" x14ac:dyDescent="0.25">
      <c r="A44" s="16"/>
      <c r="B44" s="17" t="s">
        <v>14</v>
      </c>
      <c r="C44" s="5"/>
      <c r="D44" s="69"/>
      <c r="E44" s="27"/>
      <c r="F44" s="81">
        <f>F9+F22+F26</f>
        <v>3846800.25</v>
      </c>
      <c r="G44" s="28"/>
      <c r="H44" s="28"/>
      <c r="I44" s="81">
        <f>I9+I22+I26</f>
        <v>3846800.25</v>
      </c>
    </row>
    <row r="45" spans="1:9" x14ac:dyDescent="0.25">
      <c r="A45" s="45"/>
      <c r="B45" s="46"/>
      <c r="C45" s="47"/>
      <c r="D45" s="70"/>
      <c r="E45" s="48"/>
      <c r="F45" s="49"/>
      <c r="G45" s="50"/>
      <c r="H45" s="50"/>
      <c r="I45" s="49"/>
    </row>
    <row r="46" spans="1:9" s="35" customFormat="1" x14ac:dyDescent="0.25">
      <c r="A46" s="31"/>
      <c r="B46" s="44" t="s">
        <v>51</v>
      </c>
      <c r="C46" s="32"/>
      <c r="D46" s="71"/>
      <c r="E46" s="33"/>
      <c r="F46" s="33"/>
      <c r="G46" s="34"/>
      <c r="H46" s="34"/>
      <c r="I46" s="38"/>
    </row>
    <row r="47" spans="1:9" s="35" customFormat="1" x14ac:dyDescent="0.25">
      <c r="A47" s="31"/>
      <c r="B47" s="44"/>
      <c r="C47" s="32"/>
      <c r="D47" s="71"/>
      <c r="E47" s="33"/>
      <c r="F47" s="33"/>
      <c r="G47" s="34"/>
      <c r="H47" s="34"/>
      <c r="I47" s="38"/>
    </row>
    <row r="48" spans="1:9" s="35" customFormat="1" x14ac:dyDescent="0.25">
      <c r="A48" s="31"/>
      <c r="B48" s="36" t="s">
        <v>52</v>
      </c>
      <c r="C48" s="32"/>
      <c r="D48" s="71"/>
      <c r="E48" s="33"/>
      <c r="F48" s="33"/>
      <c r="G48" s="34"/>
      <c r="H48" s="34"/>
      <c r="I48" s="34"/>
    </row>
    <row r="49" spans="1:9" s="35" customFormat="1" x14ac:dyDescent="0.25">
      <c r="A49" s="31"/>
      <c r="B49" s="36" t="s">
        <v>55</v>
      </c>
      <c r="C49" s="32"/>
      <c r="D49" s="71"/>
      <c r="E49" s="33"/>
      <c r="F49" s="33"/>
      <c r="G49" s="34"/>
      <c r="H49" s="34"/>
      <c r="I49" s="34"/>
    </row>
    <row r="50" spans="1:9" s="35" customFormat="1" x14ac:dyDescent="0.25">
      <c r="A50" s="31"/>
      <c r="B50" s="4"/>
      <c r="C50" s="32"/>
      <c r="D50" s="71"/>
      <c r="E50" s="33"/>
      <c r="F50" s="33"/>
      <c r="G50" s="34"/>
      <c r="H50" s="34"/>
      <c r="I50" s="34"/>
    </row>
    <row r="51" spans="1:9" s="35" customFormat="1" ht="15" x14ac:dyDescent="0.25">
      <c r="A51" s="31"/>
      <c r="B51" s="159" t="s">
        <v>56</v>
      </c>
      <c r="C51" s="160"/>
      <c r="D51" s="160"/>
      <c r="E51" s="160"/>
      <c r="F51" s="160"/>
      <c r="G51" s="160"/>
      <c r="H51" s="160"/>
      <c r="I51" s="34"/>
    </row>
    <row r="52" spans="1:9" s="35" customFormat="1" x14ac:dyDescent="0.25">
      <c r="A52" s="31"/>
      <c r="B52" s="161" t="s">
        <v>57</v>
      </c>
      <c r="C52" s="161"/>
      <c r="D52" s="161"/>
      <c r="E52" s="33"/>
      <c r="F52" s="33"/>
      <c r="G52" s="34"/>
      <c r="H52" s="34"/>
      <c r="I52" s="34"/>
    </row>
    <row r="53" spans="1:9" s="35" customFormat="1" x14ac:dyDescent="0.25">
      <c r="A53" s="31"/>
      <c r="B53" s="36" t="s">
        <v>53</v>
      </c>
      <c r="C53" s="32"/>
      <c r="D53" s="71"/>
      <c r="E53" s="33"/>
      <c r="F53" s="33"/>
      <c r="G53" s="34"/>
      <c r="H53" s="34"/>
      <c r="I53" s="34"/>
    </row>
    <row r="54" spans="1:9" s="35" customFormat="1" x14ac:dyDescent="0.25">
      <c r="A54" s="31"/>
      <c r="B54" s="36"/>
      <c r="C54" s="32"/>
      <c r="D54" s="71"/>
      <c r="E54" s="33"/>
      <c r="F54" s="33"/>
      <c r="G54" s="34"/>
      <c r="H54" s="34"/>
      <c r="I54" s="34"/>
    </row>
    <row r="55" spans="1:9" s="54" customFormat="1" x14ac:dyDescent="0.25">
      <c r="A55" s="51"/>
      <c r="B55" s="36" t="s">
        <v>54</v>
      </c>
      <c r="C55" s="52"/>
      <c r="D55" s="72"/>
      <c r="E55" s="52"/>
      <c r="F55" s="52"/>
      <c r="G55" s="52"/>
      <c r="H55" s="52"/>
      <c r="I55" s="53"/>
    </row>
    <row r="56" spans="1:9" s="54" customFormat="1" x14ac:dyDescent="0.25">
      <c r="A56" s="51"/>
      <c r="B56" s="36" t="s">
        <v>73</v>
      </c>
      <c r="C56" s="52"/>
      <c r="D56" s="72"/>
      <c r="E56" s="52"/>
      <c r="F56" s="52"/>
      <c r="G56" s="52"/>
      <c r="H56" s="52"/>
      <c r="I56" s="53"/>
    </row>
    <row r="57" spans="1:9" s="54" customFormat="1" x14ac:dyDescent="0.25">
      <c r="A57" s="51"/>
      <c r="B57" s="36"/>
      <c r="C57" s="52"/>
      <c r="D57" s="72"/>
      <c r="E57" s="52"/>
      <c r="F57" s="52"/>
      <c r="G57" s="52"/>
      <c r="H57" s="52"/>
      <c r="I57" s="53"/>
    </row>
    <row r="58" spans="1:9" s="54" customFormat="1" x14ac:dyDescent="0.25">
      <c r="A58" s="56"/>
      <c r="B58" s="4" t="s">
        <v>74</v>
      </c>
      <c r="C58" s="52"/>
      <c r="D58" s="72"/>
      <c r="E58" s="52"/>
      <c r="F58" s="52"/>
      <c r="G58" s="52"/>
      <c r="H58" s="52"/>
      <c r="I58" s="53"/>
    </row>
    <row r="59" spans="1:9" s="54" customFormat="1" x14ac:dyDescent="0.25">
      <c r="A59" s="56"/>
      <c r="B59" s="4"/>
      <c r="C59" s="52"/>
      <c r="D59" s="72"/>
      <c r="E59" s="52"/>
      <c r="F59" s="52"/>
      <c r="G59" s="52"/>
      <c r="H59" s="52"/>
      <c r="I59" s="53"/>
    </row>
    <row r="60" spans="1:9" s="35" customFormat="1" x14ac:dyDescent="0.25">
      <c r="A60" s="31"/>
      <c r="B60" s="4" t="s">
        <v>75</v>
      </c>
      <c r="C60" s="32"/>
      <c r="D60" s="71"/>
      <c r="E60" s="33"/>
      <c r="F60" s="33"/>
      <c r="G60" s="34"/>
      <c r="H60" s="34"/>
      <c r="I60" s="34"/>
    </row>
    <row r="61" spans="1:9" s="35" customFormat="1" x14ac:dyDescent="0.25">
      <c r="A61" s="31"/>
      <c r="B61" s="4"/>
      <c r="C61" s="32"/>
      <c r="D61" s="71"/>
      <c r="E61" s="33"/>
      <c r="F61" s="33"/>
      <c r="G61" s="34"/>
      <c r="H61" s="34"/>
      <c r="I61" s="34"/>
    </row>
    <row r="62" spans="1:9" s="54" customFormat="1" x14ac:dyDescent="0.25">
      <c r="A62" s="56"/>
      <c r="B62" s="4" t="s">
        <v>77</v>
      </c>
      <c r="C62" s="52"/>
      <c r="D62" s="72"/>
      <c r="E62" s="52"/>
      <c r="F62" s="52"/>
      <c r="G62" s="52"/>
      <c r="H62" s="52"/>
      <c r="I62" s="53"/>
    </row>
    <row r="63" spans="1:9" s="54" customFormat="1" x14ac:dyDescent="0.25">
      <c r="A63" s="51"/>
      <c r="B63" s="36"/>
      <c r="C63" s="52"/>
      <c r="D63" s="72"/>
      <c r="E63" s="52"/>
      <c r="F63" s="52"/>
      <c r="G63" s="52"/>
      <c r="H63" s="52"/>
      <c r="I63" s="53"/>
    </row>
    <row r="64" spans="1:9" s="54" customFormat="1" x14ac:dyDescent="0.25">
      <c r="A64" s="51"/>
      <c r="B64" s="36"/>
      <c r="C64" s="52"/>
      <c r="D64" s="72"/>
      <c r="E64" s="52"/>
      <c r="F64" s="52"/>
      <c r="G64" s="52"/>
      <c r="H64" s="52"/>
      <c r="I64" s="53"/>
    </row>
  </sheetData>
  <mergeCells count="14">
    <mergeCell ref="G1:I1"/>
    <mergeCell ref="B51:H51"/>
    <mergeCell ref="B52:D52"/>
    <mergeCell ref="G7:I7"/>
    <mergeCell ref="A7:A8"/>
    <mergeCell ref="B7:B8"/>
    <mergeCell ref="C7:C8"/>
    <mergeCell ref="D7:D8"/>
    <mergeCell ref="E7:E8"/>
    <mergeCell ref="F7:F8"/>
    <mergeCell ref="A2:I2"/>
    <mergeCell ref="A3:I3"/>
    <mergeCell ref="A4:I4"/>
    <mergeCell ref="A5:I5"/>
  </mergeCells>
  <pageMargins left="0.7" right="0.7" top="0.75" bottom="0.75" header="0.3" footer="0.3"/>
  <pageSetup paperSize="9" scale="4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16"/>
  <sheetViews>
    <sheetView topLeftCell="A4" workbookViewId="0">
      <selection activeCell="H17" sqref="H17"/>
    </sheetView>
  </sheetViews>
  <sheetFormatPr defaultRowHeight="15" x14ac:dyDescent="0.25"/>
  <cols>
    <col min="1" max="1" width="14.5703125" customWidth="1"/>
    <col min="13" max="13" width="10.42578125" customWidth="1"/>
    <col min="15" max="15" width="19.140625" customWidth="1"/>
  </cols>
  <sheetData>
    <row r="3" spans="1:15" s="7" customFormat="1" ht="15.75" x14ac:dyDescent="0.25">
      <c r="A3" s="7" t="s">
        <v>15</v>
      </c>
    </row>
    <row r="4" spans="1:15" s="7" customFormat="1" ht="15.75" x14ac:dyDescent="0.25">
      <c r="A4" s="7" t="s">
        <v>16</v>
      </c>
      <c r="B4" s="7">
        <v>25</v>
      </c>
      <c r="C4" s="7">
        <v>2525</v>
      </c>
      <c r="D4" s="7">
        <f>B4*C4</f>
        <v>63125</v>
      </c>
      <c r="K4" s="7">
        <v>2115000</v>
      </c>
    </row>
    <row r="5" spans="1:15" s="7" customFormat="1" ht="15.75" x14ac:dyDescent="0.25">
      <c r="A5" s="7" t="s">
        <v>17</v>
      </c>
    </row>
    <row r="6" spans="1:15" s="7" customFormat="1" ht="15.75" x14ac:dyDescent="0.25">
      <c r="A6" s="172" t="s">
        <v>28</v>
      </c>
      <c r="B6" s="172"/>
      <c r="C6" s="172"/>
      <c r="D6" s="172"/>
      <c r="E6" s="172"/>
      <c r="F6" s="172"/>
      <c r="G6" s="172"/>
      <c r="H6" s="172"/>
      <c r="I6" s="172"/>
      <c r="J6" s="172"/>
      <c r="K6" s="172"/>
      <c r="L6" s="172"/>
    </row>
    <row r="7" spans="1:15" s="9" customFormat="1" ht="31.5" x14ac:dyDescent="0.25">
      <c r="A7" s="8" t="s">
        <v>24</v>
      </c>
      <c r="B7" s="8" t="s">
        <v>25</v>
      </c>
      <c r="C7" s="8" t="s">
        <v>26</v>
      </c>
      <c r="D7" s="8" t="s">
        <v>27</v>
      </c>
      <c r="E7" s="8" t="s">
        <v>18</v>
      </c>
      <c r="F7" s="8" t="s">
        <v>64</v>
      </c>
      <c r="G7" s="8" t="s">
        <v>19</v>
      </c>
      <c r="H7" s="8" t="s">
        <v>20</v>
      </c>
      <c r="I7" s="8" t="s">
        <v>21</v>
      </c>
      <c r="J7" s="8" t="s">
        <v>29</v>
      </c>
      <c r="K7" s="8" t="s">
        <v>22</v>
      </c>
      <c r="L7" s="8" t="s">
        <v>23</v>
      </c>
    </row>
    <row r="8" spans="1:15" s="4" customFormat="1" ht="31.5" x14ac:dyDescent="0.25">
      <c r="A8" s="1" t="s">
        <v>10</v>
      </c>
      <c r="B8" s="10" t="s">
        <v>13</v>
      </c>
      <c r="C8" s="11">
        <v>4</v>
      </c>
      <c r="D8" s="12">
        <v>45500</v>
      </c>
      <c r="E8" s="13">
        <f>D8*10/100</f>
        <v>4550</v>
      </c>
      <c r="F8" s="13">
        <v>455</v>
      </c>
      <c r="G8" s="13">
        <f>D8*10/100</f>
        <v>4550</v>
      </c>
      <c r="H8" s="13">
        <f>(D8-E8)*10/100</f>
        <v>4095</v>
      </c>
      <c r="I8" s="13">
        <f>D8-G8-H8</f>
        <v>36855</v>
      </c>
      <c r="J8" s="13">
        <f>D8*2/100</f>
        <v>910</v>
      </c>
      <c r="K8" s="13">
        <f t="shared" ref="K8:K12" si="0">(D8-E8)*3.5/100</f>
        <v>1433.25</v>
      </c>
      <c r="L8" s="13">
        <f>((D8-G8-F8)*9.5/100)-K8</f>
        <v>2413.7750000000001</v>
      </c>
      <c r="M8" s="4">
        <f>C8*D8</f>
        <v>182000</v>
      </c>
      <c r="N8" s="4">
        <f>C8*(K8+L8+J8)</f>
        <v>19028.099999999999</v>
      </c>
      <c r="O8" s="4" t="s">
        <v>30</v>
      </c>
    </row>
    <row r="9" spans="1:15" s="4" customFormat="1" ht="15.75" x14ac:dyDescent="0.25">
      <c r="A9" s="1" t="s">
        <v>11</v>
      </c>
      <c r="B9" s="10" t="s">
        <v>13</v>
      </c>
      <c r="C9" s="11">
        <v>4</v>
      </c>
      <c r="D9" s="12">
        <v>45500</v>
      </c>
      <c r="E9" s="13">
        <f t="shared" ref="E9:E12" si="1">D9*10/100</f>
        <v>4550</v>
      </c>
      <c r="F9" s="13">
        <v>455</v>
      </c>
      <c r="G9" s="13">
        <f t="shared" ref="G9:G12" si="2">D9*10/100</f>
        <v>4550</v>
      </c>
      <c r="H9" s="13">
        <f t="shared" ref="H9:H12" si="3">(D9-E9)*10/100</f>
        <v>4095</v>
      </c>
      <c r="I9" s="13">
        <f t="shared" ref="I9:I12" si="4">D9-G9-H9</f>
        <v>36855</v>
      </c>
      <c r="J9" s="13">
        <f t="shared" ref="J9:J12" si="5">D9*2/100</f>
        <v>910</v>
      </c>
      <c r="K9" s="13">
        <f t="shared" si="0"/>
        <v>1433.25</v>
      </c>
      <c r="L9" s="13">
        <f t="shared" ref="L9:L12" si="6">((D9-G9-F9)*9.5/100)-K9</f>
        <v>2413.7750000000001</v>
      </c>
      <c r="M9" s="4">
        <f t="shared" ref="M9:M12" si="7">C9*D9</f>
        <v>182000</v>
      </c>
      <c r="N9" s="4">
        <f t="shared" ref="N9:N12" si="8">C9*(K9+L9+J9)</f>
        <v>19028.099999999999</v>
      </c>
      <c r="O9" s="4" t="s">
        <v>31</v>
      </c>
    </row>
    <row r="10" spans="1:15" s="4" customFormat="1" ht="31.5" x14ac:dyDescent="0.25">
      <c r="A10" s="1" t="s">
        <v>35</v>
      </c>
      <c r="B10" s="10" t="s">
        <v>13</v>
      </c>
      <c r="C10" s="11">
        <v>7</v>
      </c>
      <c r="D10" s="12">
        <v>45500</v>
      </c>
      <c r="E10" s="13">
        <f t="shared" si="1"/>
        <v>4550</v>
      </c>
      <c r="F10" s="13">
        <v>455</v>
      </c>
      <c r="G10" s="13">
        <f t="shared" si="2"/>
        <v>4550</v>
      </c>
      <c r="H10" s="13">
        <f t="shared" si="3"/>
        <v>4095</v>
      </c>
      <c r="I10" s="13">
        <f t="shared" si="4"/>
        <v>36855</v>
      </c>
      <c r="J10" s="13">
        <f t="shared" si="5"/>
        <v>910</v>
      </c>
      <c r="K10" s="13">
        <f t="shared" si="0"/>
        <v>1433.25</v>
      </c>
      <c r="L10" s="13">
        <f t="shared" si="6"/>
        <v>2413.7750000000001</v>
      </c>
      <c r="M10" s="4">
        <f t="shared" si="7"/>
        <v>318500</v>
      </c>
      <c r="N10" s="4">
        <f t="shared" si="8"/>
        <v>33299.174999999996</v>
      </c>
      <c r="O10" s="4" t="s">
        <v>62</v>
      </c>
    </row>
    <row r="11" spans="1:15" s="4" customFormat="1" ht="15.75" x14ac:dyDescent="0.25">
      <c r="A11" s="1" t="s">
        <v>12</v>
      </c>
      <c r="B11" s="10" t="s">
        <v>13</v>
      </c>
      <c r="C11" s="11">
        <v>7</v>
      </c>
      <c r="D11" s="12">
        <v>45500</v>
      </c>
      <c r="E11" s="13">
        <f t="shared" si="1"/>
        <v>4550</v>
      </c>
      <c r="F11" s="13">
        <v>455</v>
      </c>
      <c r="G11" s="13">
        <f t="shared" si="2"/>
        <v>4550</v>
      </c>
      <c r="H11" s="13">
        <f t="shared" si="3"/>
        <v>4095</v>
      </c>
      <c r="I11" s="13">
        <f t="shared" si="4"/>
        <v>36855</v>
      </c>
      <c r="J11" s="13">
        <f t="shared" si="5"/>
        <v>910</v>
      </c>
      <c r="K11" s="13">
        <f t="shared" si="0"/>
        <v>1433.25</v>
      </c>
      <c r="L11" s="13">
        <f t="shared" si="6"/>
        <v>2413.7750000000001</v>
      </c>
      <c r="M11" s="4">
        <f t="shared" si="7"/>
        <v>318500</v>
      </c>
      <c r="N11" s="4">
        <f t="shared" si="8"/>
        <v>33299.174999999996</v>
      </c>
      <c r="O11" s="4" t="s">
        <v>32</v>
      </c>
    </row>
    <row r="12" spans="1:15" s="4" customFormat="1" ht="47.25" x14ac:dyDescent="0.25">
      <c r="A12" s="1" t="s">
        <v>34</v>
      </c>
      <c r="B12" s="10" t="s">
        <v>13</v>
      </c>
      <c r="C12" s="11">
        <v>7</v>
      </c>
      <c r="D12" s="12">
        <v>45500</v>
      </c>
      <c r="E12" s="13">
        <f t="shared" si="1"/>
        <v>4550</v>
      </c>
      <c r="F12" s="13">
        <v>455</v>
      </c>
      <c r="G12" s="13">
        <f t="shared" si="2"/>
        <v>4550</v>
      </c>
      <c r="H12" s="13">
        <f t="shared" si="3"/>
        <v>4095</v>
      </c>
      <c r="I12" s="13">
        <f t="shared" si="4"/>
        <v>36855</v>
      </c>
      <c r="J12" s="13">
        <f t="shared" si="5"/>
        <v>910</v>
      </c>
      <c r="K12" s="13">
        <f t="shared" si="0"/>
        <v>1433.25</v>
      </c>
      <c r="L12" s="13">
        <f t="shared" si="6"/>
        <v>2413.7750000000001</v>
      </c>
      <c r="M12" s="4">
        <f t="shared" si="7"/>
        <v>318500</v>
      </c>
      <c r="N12" s="4">
        <f t="shared" si="8"/>
        <v>33299.174999999996</v>
      </c>
      <c r="O12" s="4" t="s">
        <v>33</v>
      </c>
    </row>
    <row r="13" spans="1:15" s="7" customFormat="1" ht="15.75" x14ac:dyDescent="0.25">
      <c r="D13" s="39">
        <f>SUM(D8:D12)</f>
        <v>227500</v>
      </c>
      <c r="E13" s="40"/>
      <c r="F13" s="39">
        <f>SUM(F8:F12)</f>
        <v>2275</v>
      </c>
      <c r="G13" s="39">
        <f>SUM(G8:G12)</f>
        <v>22750</v>
      </c>
      <c r="H13" s="39">
        <f t="shared" ref="H13:L13" si="9">SUM(H8:H12)</f>
        <v>20475</v>
      </c>
      <c r="I13" s="39">
        <f t="shared" si="9"/>
        <v>184275</v>
      </c>
      <c r="J13" s="39">
        <f t="shared" si="9"/>
        <v>4550</v>
      </c>
      <c r="K13" s="39">
        <f t="shared" si="9"/>
        <v>7166.25</v>
      </c>
      <c r="L13" s="39">
        <f t="shared" si="9"/>
        <v>12068.875</v>
      </c>
      <c r="M13" s="14">
        <f>SUM(M8:M12)</f>
        <v>1319500</v>
      </c>
      <c r="N13" s="14">
        <f t="shared" ref="N13" si="10">SUM(N8:N12)</f>
        <v>137953.72499999998</v>
      </c>
    </row>
    <row r="14" spans="1:15" s="7" customFormat="1" ht="15.75" x14ac:dyDescent="0.25">
      <c r="M14" s="7">
        <v>2315278</v>
      </c>
      <c r="N14" s="7">
        <v>2315278</v>
      </c>
    </row>
    <row r="16" spans="1:15" x14ac:dyDescent="0.25">
      <c r="A16" t="s">
        <v>63</v>
      </c>
      <c r="D16">
        <f>D13*4</f>
        <v>910000</v>
      </c>
      <c r="E16">
        <f t="shared" ref="E16:L16" si="11">E13*4</f>
        <v>0</v>
      </c>
      <c r="F16">
        <f t="shared" si="11"/>
        <v>9100</v>
      </c>
      <c r="G16">
        <f t="shared" si="11"/>
        <v>91000</v>
      </c>
      <c r="H16">
        <f t="shared" si="11"/>
        <v>81900</v>
      </c>
      <c r="I16">
        <f t="shared" si="11"/>
        <v>737100</v>
      </c>
      <c r="J16">
        <f t="shared" si="11"/>
        <v>18200</v>
      </c>
      <c r="K16">
        <f t="shared" si="11"/>
        <v>28665</v>
      </c>
      <c r="L16">
        <f t="shared" si="11"/>
        <v>48275.5</v>
      </c>
    </row>
  </sheetData>
  <mergeCells count="1">
    <mergeCell ref="A6:L6"/>
  </mergeCells>
  <pageMargins left="0.70866141732283472" right="0.70866141732283472" top="0.74803149606299213" bottom="0.74803149606299213" header="0.31496062992125984" footer="0.31496062992125984"/>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64"/>
  <sheetViews>
    <sheetView view="pageBreakPreview" topLeftCell="A25" zoomScale="70" zoomScaleNormal="70" zoomScaleSheetLayoutView="70" workbookViewId="0">
      <selection activeCell="H39" sqref="H39"/>
    </sheetView>
  </sheetViews>
  <sheetFormatPr defaultColWidth="8.85546875" defaultRowHeight="15.75" x14ac:dyDescent="0.25"/>
  <cols>
    <col min="1" max="1" width="7" style="4" customWidth="1"/>
    <col min="2" max="2" width="51.85546875" style="4" customWidth="1"/>
    <col min="3" max="3" width="12.5703125" style="6" customWidth="1"/>
    <col min="4" max="4" width="13.42578125" style="62" customWidth="1"/>
    <col min="5" max="5" width="20.28515625" style="15" customWidth="1"/>
    <col min="6" max="6" width="17.140625" style="30" customWidth="1"/>
    <col min="7" max="8" width="21.85546875" style="15" customWidth="1"/>
    <col min="9" max="9" width="21.85546875" style="30" customWidth="1"/>
    <col min="10" max="10" width="8.42578125" style="86" customWidth="1"/>
    <col min="11" max="11" width="8.85546875" style="86" hidden="1" customWidth="1"/>
    <col min="12" max="16384" width="8.85546875" style="86"/>
  </cols>
  <sheetData>
    <row r="1" spans="1:9" ht="56.25" customHeight="1" x14ac:dyDescent="0.25">
      <c r="G1" s="158" t="s">
        <v>78</v>
      </c>
      <c r="H1" s="158"/>
      <c r="I1" s="158"/>
    </row>
    <row r="2" spans="1:9" x14ac:dyDescent="0.25">
      <c r="A2" s="168" t="s">
        <v>36</v>
      </c>
      <c r="B2" s="168"/>
      <c r="C2" s="168"/>
      <c r="D2" s="168"/>
      <c r="E2" s="168"/>
      <c r="F2" s="168"/>
      <c r="G2" s="168"/>
      <c r="H2" s="168"/>
      <c r="I2" s="168"/>
    </row>
    <row r="3" spans="1:9" x14ac:dyDescent="0.25">
      <c r="A3" s="169" t="s">
        <v>47</v>
      </c>
      <c r="B3" s="169"/>
      <c r="C3" s="169"/>
      <c r="D3" s="169"/>
      <c r="E3" s="169"/>
      <c r="F3" s="169"/>
      <c r="G3" s="169"/>
      <c r="H3" s="169"/>
      <c r="I3" s="169"/>
    </row>
    <row r="4" spans="1:9" s="73" customFormat="1" x14ac:dyDescent="0.25">
      <c r="A4" s="170" t="s">
        <v>87</v>
      </c>
      <c r="B4" s="170"/>
      <c r="C4" s="170"/>
      <c r="D4" s="170"/>
      <c r="E4" s="170"/>
      <c r="F4" s="170"/>
      <c r="G4" s="170"/>
      <c r="H4" s="170"/>
      <c r="I4" s="170"/>
    </row>
    <row r="5" spans="1:9" s="73" customFormat="1" x14ac:dyDescent="0.25">
      <c r="A5" s="171" t="s">
        <v>48</v>
      </c>
      <c r="B5" s="171"/>
      <c r="C5" s="171"/>
      <c r="D5" s="171"/>
      <c r="E5" s="171"/>
      <c r="F5" s="171"/>
      <c r="G5" s="171"/>
      <c r="H5" s="171"/>
      <c r="I5" s="171"/>
    </row>
    <row r="6" spans="1:9" x14ac:dyDescent="0.25">
      <c r="A6" s="58"/>
      <c r="B6" s="92"/>
      <c r="C6" s="58"/>
      <c r="D6" s="63"/>
      <c r="E6" s="58"/>
      <c r="F6" s="58"/>
      <c r="G6" s="58"/>
      <c r="H6" s="58"/>
      <c r="I6" s="58"/>
    </row>
    <row r="7" spans="1:9" x14ac:dyDescent="0.25">
      <c r="A7" s="163" t="s">
        <v>0</v>
      </c>
      <c r="B7" s="164" t="s">
        <v>49</v>
      </c>
      <c r="C7" s="166" t="s">
        <v>1</v>
      </c>
      <c r="D7" s="167" t="s">
        <v>2</v>
      </c>
      <c r="E7" s="162" t="s">
        <v>3</v>
      </c>
      <c r="F7" s="162" t="s">
        <v>46</v>
      </c>
      <c r="G7" s="162" t="s">
        <v>4</v>
      </c>
      <c r="H7" s="162"/>
      <c r="I7" s="162"/>
    </row>
    <row r="8" spans="1:9" ht="61.35" customHeight="1" x14ac:dyDescent="0.25">
      <c r="A8" s="163"/>
      <c r="B8" s="165"/>
      <c r="C8" s="166"/>
      <c r="D8" s="167"/>
      <c r="E8" s="162"/>
      <c r="F8" s="162"/>
      <c r="G8" s="87" t="s">
        <v>5</v>
      </c>
      <c r="H8" s="87" t="s">
        <v>6</v>
      </c>
      <c r="I8" s="87" t="s">
        <v>7</v>
      </c>
    </row>
    <row r="9" spans="1:9" x14ac:dyDescent="0.25">
      <c r="A9" s="88">
        <v>1</v>
      </c>
      <c r="B9" s="37" t="s">
        <v>8</v>
      </c>
      <c r="C9" s="89"/>
      <c r="D9" s="90"/>
      <c r="E9" s="23"/>
      <c r="F9" s="81">
        <f>F10+F16+F17+F18+F19</f>
        <v>2727400.25</v>
      </c>
      <c r="G9" s="81">
        <f>G10+G16+G17+G18+G19</f>
        <v>464468.92</v>
      </c>
      <c r="H9" s="23"/>
      <c r="I9" s="81">
        <f>I10+I16+I17+I18+I19</f>
        <v>2727400.25</v>
      </c>
    </row>
    <row r="10" spans="1:9" x14ac:dyDescent="0.25">
      <c r="A10" s="88"/>
      <c r="B10" s="37" t="s">
        <v>42</v>
      </c>
      <c r="C10" s="89"/>
      <c r="D10" s="90"/>
      <c r="E10" s="23"/>
      <c r="F10" s="81">
        <f>F11+F12+F14+F13+F15</f>
        <v>2275000</v>
      </c>
      <c r="G10" s="81">
        <f>G11+G12+G14+G13+G15</f>
        <v>368550</v>
      </c>
      <c r="H10" s="23"/>
      <c r="I10" s="81">
        <f>SUM(I11:I15)</f>
        <v>2275000</v>
      </c>
    </row>
    <row r="11" spans="1:9" x14ac:dyDescent="0.25">
      <c r="A11" s="2"/>
      <c r="B11" s="21" t="s">
        <v>92</v>
      </c>
      <c r="C11" s="3" t="s">
        <v>65</v>
      </c>
      <c r="D11" s="65">
        <v>10</v>
      </c>
      <c r="E11" s="76">
        <f>'ЗП 2020'!D8</f>
        <v>45500</v>
      </c>
      <c r="F11" s="82">
        <f>D11*E11</f>
        <v>455000</v>
      </c>
      <c r="G11" s="24">
        <f t="shared" ref="G11:G13" si="0">36855+36855</f>
        <v>73710</v>
      </c>
      <c r="H11" s="24"/>
      <c r="I11" s="82">
        <f>F11</f>
        <v>455000</v>
      </c>
    </row>
    <row r="12" spans="1:9" x14ac:dyDescent="0.25">
      <c r="A12" s="2"/>
      <c r="B12" s="21" t="s">
        <v>94</v>
      </c>
      <c r="C12" s="3" t="s">
        <v>65</v>
      </c>
      <c r="D12" s="65">
        <v>10</v>
      </c>
      <c r="E12" s="76">
        <f>'ЗП 2020'!D9</f>
        <v>45500</v>
      </c>
      <c r="F12" s="82">
        <f t="shared" ref="F12:F15" si="1">D12*E12</f>
        <v>455000</v>
      </c>
      <c r="G12" s="24">
        <f t="shared" si="0"/>
        <v>73710</v>
      </c>
      <c r="H12" s="24"/>
      <c r="I12" s="82">
        <f t="shared" ref="I12:I15" si="2">F12</f>
        <v>455000</v>
      </c>
    </row>
    <row r="13" spans="1:9" x14ac:dyDescent="0.25">
      <c r="A13" s="2"/>
      <c r="B13" s="21" t="s">
        <v>93</v>
      </c>
      <c r="C13" s="3" t="s">
        <v>65</v>
      </c>
      <c r="D13" s="65">
        <v>10</v>
      </c>
      <c r="E13" s="76">
        <f>'ЗП 2020'!D10</f>
        <v>45500</v>
      </c>
      <c r="F13" s="82">
        <f t="shared" si="1"/>
        <v>455000</v>
      </c>
      <c r="G13" s="24">
        <f t="shared" si="0"/>
        <v>73710</v>
      </c>
      <c r="H13" s="24"/>
      <c r="I13" s="82">
        <f t="shared" si="2"/>
        <v>455000</v>
      </c>
    </row>
    <row r="14" spans="1:9" x14ac:dyDescent="0.25">
      <c r="A14" s="2"/>
      <c r="B14" s="21" t="s">
        <v>95</v>
      </c>
      <c r="C14" s="3" t="s">
        <v>65</v>
      </c>
      <c r="D14" s="65">
        <v>10</v>
      </c>
      <c r="E14" s="76">
        <f>'ЗП 2020'!D11</f>
        <v>45500</v>
      </c>
      <c r="F14" s="82">
        <f t="shared" si="1"/>
        <v>455000</v>
      </c>
      <c r="G14" s="24">
        <f>36855+36855</f>
        <v>73710</v>
      </c>
      <c r="H14" s="24"/>
      <c r="I14" s="82">
        <f t="shared" si="2"/>
        <v>455000</v>
      </c>
    </row>
    <row r="15" spans="1:9" ht="31.5" x14ac:dyDescent="0.25">
      <c r="A15" s="2"/>
      <c r="B15" s="21" t="s">
        <v>96</v>
      </c>
      <c r="C15" s="3" t="s">
        <v>65</v>
      </c>
      <c r="D15" s="65">
        <v>10</v>
      </c>
      <c r="E15" s="76">
        <f>'ЗП 2020'!D12</f>
        <v>45500</v>
      </c>
      <c r="F15" s="82">
        <f t="shared" si="1"/>
        <v>455000</v>
      </c>
      <c r="G15" s="24">
        <f>36855+36855</f>
        <v>73710</v>
      </c>
      <c r="H15" s="24"/>
      <c r="I15" s="82">
        <f t="shared" si="2"/>
        <v>455000</v>
      </c>
    </row>
    <row r="16" spans="1:9" s="57" customFormat="1" x14ac:dyDescent="0.25">
      <c r="A16" s="18"/>
      <c r="B16" s="8" t="s">
        <v>43</v>
      </c>
      <c r="C16" s="3" t="s">
        <v>65</v>
      </c>
      <c r="D16" s="66">
        <v>10</v>
      </c>
      <c r="E16" s="83">
        <f>'ЗП 2020'!K13+'ЗП 2020'!L13</f>
        <v>19235.125</v>
      </c>
      <c r="F16" s="79">
        <f>D16*E16</f>
        <v>192351.25</v>
      </c>
      <c r="G16" s="25"/>
      <c r="H16" s="25"/>
      <c r="I16" s="79">
        <f>F16</f>
        <v>192351.25</v>
      </c>
    </row>
    <row r="17" spans="1:9" s="57" customFormat="1" ht="36" customHeight="1" x14ac:dyDescent="0.25">
      <c r="A17" s="18"/>
      <c r="B17" s="37" t="s">
        <v>85</v>
      </c>
      <c r="C17" s="3" t="s">
        <v>65</v>
      </c>
      <c r="D17" s="66">
        <v>10</v>
      </c>
      <c r="E17" s="83">
        <f>'ЗП 2020'!J13</f>
        <v>4550</v>
      </c>
      <c r="F17" s="79">
        <f>D17*E17</f>
        <v>45500</v>
      </c>
      <c r="G17" s="79"/>
      <c r="H17" s="25"/>
      <c r="I17" s="79">
        <f t="shared" ref="I17:I38" si="3">F17</f>
        <v>45500</v>
      </c>
    </row>
    <row r="18" spans="1:9" s="57" customFormat="1" x14ac:dyDescent="0.25">
      <c r="A18" s="18"/>
      <c r="B18" s="8" t="s">
        <v>44</v>
      </c>
      <c r="C18" s="3" t="s">
        <v>65</v>
      </c>
      <c r="D18" s="66">
        <v>10</v>
      </c>
      <c r="E18" s="83">
        <v>1454.9</v>
      </c>
      <c r="F18" s="79">
        <f>D18*E18</f>
        <v>14549</v>
      </c>
      <c r="G18" s="25">
        <f>520+520+2200+990+520+7000+990+300+520+295+2063.92</f>
        <v>15918.92</v>
      </c>
      <c r="H18" s="25"/>
      <c r="I18" s="79">
        <f t="shared" si="3"/>
        <v>14549</v>
      </c>
    </row>
    <row r="19" spans="1:9" s="57" customFormat="1" x14ac:dyDescent="0.25">
      <c r="A19" s="18"/>
      <c r="B19" s="74" t="s">
        <v>86</v>
      </c>
      <c r="C19" s="19"/>
      <c r="D19" s="66"/>
      <c r="E19" s="83"/>
      <c r="F19" s="79">
        <f>F21+F20</f>
        <v>200000</v>
      </c>
      <c r="G19" s="79">
        <f>G21+G20</f>
        <v>80000</v>
      </c>
      <c r="H19" s="25"/>
      <c r="I19" s="79">
        <f t="shared" si="3"/>
        <v>200000</v>
      </c>
    </row>
    <row r="20" spans="1:9" s="57" customFormat="1" x14ac:dyDescent="0.25">
      <c r="A20" s="18"/>
      <c r="B20" s="75" t="s">
        <v>88</v>
      </c>
      <c r="C20" s="22" t="s">
        <v>65</v>
      </c>
      <c r="D20" s="66">
        <v>10</v>
      </c>
      <c r="E20" s="84">
        <v>10000</v>
      </c>
      <c r="F20" s="80">
        <f>D20*E20</f>
        <v>100000</v>
      </c>
      <c r="G20" s="25">
        <v>40000</v>
      </c>
      <c r="H20" s="25"/>
      <c r="I20" s="80">
        <f>F20</f>
        <v>100000</v>
      </c>
    </row>
    <row r="21" spans="1:9" s="57" customFormat="1" x14ac:dyDescent="0.25">
      <c r="A21" s="20"/>
      <c r="B21" s="21" t="s">
        <v>50</v>
      </c>
      <c r="C21" s="22" t="s">
        <v>65</v>
      </c>
      <c r="D21" s="66">
        <v>10</v>
      </c>
      <c r="E21" s="84">
        <v>10000</v>
      </c>
      <c r="F21" s="80">
        <f>D21*E21</f>
        <v>100000</v>
      </c>
      <c r="G21" s="26">
        <v>40000</v>
      </c>
      <c r="H21" s="26"/>
      <c r="I21" s="80">
        <f>F21</f>
        <v>100000</v>
      </c>
    </row>
    <row r="22" spans="1:9" x14ac:dyDescent="0.25">
      <c r="A22" s="88">
        <v>2</v>
      </c>
      <c r="B22" s="37" t="s">
        <v>82</v>
      </c>
      <c r="C22" s="89"/>
      <c r="D22" s="90"/>
      <c r="E22" s="27"/>
      <c r="F22" s="81">
        <f>F24+F25+F23</f>
        <v>350000</v>
      </c>
      <c r="G22" s="81">
        <f>G24+G25+G23</f>
        <v>350000</v>
      </c>
      <c r="H22" s="23"/>
      <c r="I22" s="81">
        <f>I24+I25+I23</f>
        <v>350000</v>
      </c>
    </row>
    <row r="23" spans="1:9" x14ac:dyDescent="0.25">
      <c r="A23" s="88"/>
      <c r="B23" s="60" t="s">
        <v>79</v>
      </c>
      <c r="C23" s="59" t="s">
        <v>76</v>
      </c>
      <c r="D23" s="67">
        <v>1</v>
      </c>
      <c r="E23" s="85">
        <v>180000</v>
      </c>
      <c r="F23" s="77">
        <f t="shared" ref="F23:F25" si="4">D23*E23</f>
        <v>180000</v>
      </c>
      <c r="G23" s="23">
        <v>180000</v>
      </c>
      <c r="H23" s="23"/>
      <c r="I23" s="80">
        <f>F23</f>
        <v>180000</v>
      </c>
    </row>
    <row r="24" spans="1:9" s="57" customFormat="1" x14ac:dyDescent="0.25">
      <c r="A24" s="20"/>
      <c r="B24" s="60" t="s">
        <v>80</v>
      </c>
      <c r="C24" s="59" t="s">
        <v>76</v>
      </c>
      <c r="D24" s="67">
        <v>1</v>
      </c>
      <c r="E24" s="85">
        <v>20000</v>
      </c>
      <c r="F24" s="77">
        <f t="shared" si="4"/>
        <v>20000</v>
      </c>
      <c r="G24" s="26">
        <v>20000</v>
      </c>
      <c r="H24" s="26"/>
      <c r="I24" s="80">
        <f>F24</f>
        <v>20000</v>
      </c>
    </row>
    <row r="25" spans="1:9" x14ac:dyDescent="0.25">
      <c r="A25" s="2"/>
      <c r="B25" s="1" t="s">
        <v>81</v>
      </c>
      <c r="C25" s="59" t="s">
        <v>76</v>
      </c>
      <c r="D25" s="68">
        <v>1</v>
      </c>
      <c r="E25" s="76">
        <v>150000</v>
      </c>
      <c r="F25" s="78">
        <f t="shared" si="4"/>
        <v>150000</v>
      </c>
      <c r="G25" s="24">
        <f>150000</f>
        <v>150000</v>
      </c>
      <c r="H25" s="24"/>
      <c r="I25" s="82">
        <f>F25</f>
        <v>150000</v>
      </c>
    </row>
    <row r="26" spans="1:9" x14ac:dyDescent="0.25">
      <c r="A26" s="88">
        <v>3</v>
      </c>
      <c r="B26" s="37" t="s">
        <v>9</v>
      </c>
      <c r="C26" s="89"/>
      <c r="D26" s="90"/>
      <c r="E26" s="27"/>
      <c r="F26" s="81">
        <f>F27+F32+F39</f>
        <v>769400</v>
      </c>
      <c r="G26" s="23"/>
      <c r="H26" s="23"/>
      <c r="I26" s="81">
        <f>I27+I32+I39</f>
        <v>769400</v>
      </c>
    </row>
    <row r="27" spans="1:9" ht="31.5" x14ac:dyDescent="0.25">
      <c r="A27" s="88"/>
      <c r="B27" s="37" t="s">
        <v>83</v>
      </c>
      <c r="C27" s="89"/>
      <c r="D27" s="90"/>
      <c r="E27" s="27"/>
      <c r="F27" s="81">
        <f>+F28</f>
        <v>200000</v>
      </c>
      <c r="G27" s="81">
        <f>+G28</f>
        <v>0</v>
      </c>
      <c r="H27" s="23"/>
      <c r="I27" s="81">
        <f>I28</f>
        <v>200000</v>
      </c>
    </row>
    <row r="28" spans="1:9" ht="54" customHeight="1" x14ac:dyDescent="0.25">
      <c r="A28" s="88"/>
      <c r="B28" s="37" t="s">
        <v>41</v>
      </c>
      <c r="C28" s="89"/>
      <c r="D28" s="90"/>
      <c r="E28" s="27"/>
      <c r="F28" s="81">
        <f>F29+F30+F31</f>
        <v>200000</v>
      </c>
      <c r="G28" s="81">
        <f>G29+G30+G31</f>
        <v>0</v>
      </c>
      <c r="H28" s="23"/>
      <c r="I28" s="81">
        <f>SUM(I29:I31)</f>
        <v>200000</v>
      </c>
    </row>
    <row r="29" spans="1:9" s="57" customFormat="1" x14ac:dyDescent="0.25">
      <c r="A29" s="20"/>
      <c r="B29" s="21" t="s">
        <v>60</v>
      </c>
      <c r="C29" s="22" t="s">
        <v>59</v>
      </c>
      <c r="D29" s="66">
        <v>1</v>
      </c>
      <c r="E29" s="84">
        <v>70000</v>
      </c>
      <c r="F29" s="80">
        <f t="shared" ref="F29:F30" si="5">D29*E29</f>
        <v>70000</v>
      </c>
      <c r="G29" s="26"/>
      <c r="H29" s="26"/>
      <c r="I29" s="80">
        <f t="shared" si="3"/>
        <v>70000</v>
      </c>
    </row>
    <row r="30" spans="1:9" s="57" customFormat="1" x14ac:dyDescent="0.25">
      <c r="A30" s="20"/>
      <c r="B30" s="21" t="s">
        <v>61</v>
      </c>
      <c r="C30" s="22" t="s">
        <v>59</v>
      </c>
      <c r="D30" s="66">
        <v>1</v>
      </c>
      <c r="E30" s="84">
        <v>30000</v>
      </c>
      <c r="F30" s="80">
        <f t="shared" si="5"/>
        <v>30000</v>
      </c>
      <c r="G30" s="26"/>
      <c r="H30" s="26"/>
      <c r="I30" s="80">
        <f t="shared" si="3"/>
        <v>30000</v>
      </c>
    </row>
    <row r="31" spans="1:9" s="57" customFormat="1" x14ac:dyDescent="0.25">
      <c r="A31" s="20"/>
      <c r="B31" s="21" t="s">
        <v>89</v>
      </c>
      <c r="C31" s="22" t="s">
        <v>59</v>
      </c>
      <c r="D31" s="66">
        <v>2</v>
      </c>
      <c r="E31" s="84">
        <v>50000</v>
      </c>
      <c r="F31" s="80">
        <f>D31*E31</f>
        <v>100000</v>
      </c>
      <c r="G31" s="26"/>
      <c r="H31" s="26"/>
      <c r="I31" s="80">
        <f>F31</f>
        <v>100000</v>
      </c>
    </row>
    <row r="32" spans="1:9" x14ac:dyDescent="0.25">
      <c r="A32" s="88"/>
      <c r="B32" s="37" t="s">
        <v>84</v>
      </c>
      <c r="C32" s="89"/>
      <c r="D32" s="90"/>
      <c r="E32" s="27"/>
      <c r="F32" s="81">
        <f>F33+F37</f>
        <v>129400</v>
      </c>
      <c r="G32" s="81">
        <f>G33+G37</f>
        <v>113900</v>
      </c>
      <c r="H32" s="23"/>
      <c r="I32" s="81">
        <f>I33+I37</f>
        <v>129400</v>
      </c>
    </row>
    <row r="33" spans="1:9" ht="31.5" x14ac:dyDescent="0.25">
      <c r="A33" s="88"/>
      <c r="B33" s="37" t="s">
        <v>40</v>
      </c>
      <c r="C33" s="89"/>
      <c r="D33" s="90"/>
      <c r="E33" s="27"/>
      <c r="F33" s="81">
        <f>F34+F35+F36</f>
        <v>29400</v>
      </c>
      <c r="G33" s="23">
        <v>29400</v>
      </c>
      <c r="H33" s="23"/>
      <c r="I33" s="81">
        <f>SUM(I34:I36)</f>
        <v>29400</v>
      </c>
    </row>
    <row r="34" spans="1:9" x14ac:dyDescent="0.25">
      <c r="A34" s="2"/>
      <c r="B34" s="1" t="s">
        <v>37</v>
      </c>
      <c r="C34" s="3" t="s">
        <v>72</v>
      </c>
      <c r="D34" s="65">
        <v>60</v>
      </c>
      <c r="E34" s="76">
        <v>280</v>
      </c>
      <c r="F34" s="82">
        <f>D34*E34</f>
        <v>16800</v>
      </c>
      <c r="G34" s="24">
        <v>16800</v>
      </c>
      <c r="H34" s="24"/>
      <c r="I34" s="82">
        <f t="shared" si="3"/>
        <v>16800</v>
      </c>
    </row>
    <row r="35" spans="1:9" x14ac:dyDescent="0.25">
      <c r="A35" s="2"/>
      <c r="B35" s="1" t="s">
        <v>38</v>
      </c>
      <c r="C35" s="3" t="s">
        <v>72</v>
      </c>
      <c r="D35" s="65">
        <v>60</v>
      </c>
      <c r="E35" s="76">
        <v>40</v>
      </c>
      <c r="F35" s="82">
        <f>D35*E35</f>
        <v>2400</v>
      </c>
      <c r="G35" s="24">
        <v>2400</v>
      </c>
      <c r="H35" s="24"/>
      <c r="I35" s="82">
        <f t="shared" si="3"/>
        <v>2400</v>
      </c>
    </row>
    <row r="36" spans="1:9" x14ac:dyDescent="0.25">
      <c r="A36" s="2"/>
      <c r="B36" s="1" t="s">
        <v>39</v>
      </c>
      <c r="C36" s="3" t="s">
        <v>72</v>
      </c>
      <c r="D36" s="65">
        <v>60</v>
      </c>
      <c r="E36" s="76">
        <v>170</v>
      </c>
      <c r="F36" s="82">
        <f>D36*E36</f>
        <v>10200</v>
      </c>
      <c r="G36" s="24">
        <v>10200</v>
      </c>
      <c r="H36" s="24"/>
      <c r="I36" s="82">
        <f t="shared" si="3"/>
        <v>10200</v>
      </c>
    </row>
    <row r="37" spans="1:9" ht="47.25" x14ac:dyDescent="0.25">
      <c r="A37" s="2"/>
      <c r="B37" s="37" t="s">
        <v>41</v>
      </c>
      <c r="C37" s="3"/>
      <c r="D37" s="65"/>
      <c r="E37" s="76"/>
      <c r="F37" s="81">
        <f>F38</f>
        <v>100000</v>
      </c>
      <c r="G37" s="81">
        <f>G38</f>
        <v>84500</v>
      </c>
      <c r="H37" s="23"/>
      <c r="I37" s="81">
        <f>I38</f>
        <v>100000</v>
      </c>
    </row>
    <row r="38" spans="1:9" s="57" customFormat="1" x14ac:dyDescent="0.25">
      <c r="A38" s="20"/>
      <c r="B38" s="21" t="s">
        <v>45</v>
      </c>
      <c r="C38" s="22" t="s">
        <v>59</v>
      </c>
      <c r="D38" s="66">
        <v>2</v>
      </c>
      <c r="E38" s="84">
        <v>50000</v>
      </c>
      <c r="F38" s="80">
        <f t="shared" ref="F38" si="6">D38*E38</f>
        <v>100000</v>
      </c>
      <c r="G38" s="26">
        <f>39500+45000</f>
        <v>84500</v>
      </c>
      <c r="H38" s="26"/>
      <c r="I38" s="80">
        <f t="shared" si="3"/>
        <v>100000</v>
      </c>
    </row>
    <row r="39" spans="1:9" x14ac:dyDescent="0.25">
      <c r="A39" s="88"/>
      <c r="B39" s="37" t="s">
        <v>58</v>
      </c>
      <c r="C39" s="89"/>
      <c r="D39" s="90"/>
      <c r="E39" s="27"/>
      <c r="F39" s="81">
        <f>F40+F42</f>
        <v>440000</v>
      </c>
      <c r="G39" s="81">
        <f>G40+G42</f>
        <v>0</v>
      </c>
      <c r="H39" s="23"/>
      <c r="I39" s="81">
        <f>I40+I42</f>
        <v>440000</v>
      </c>
    </row>
    <row r="40" spans="1:9" ht="31.5" x14ac:dyDescent="0.25">
      <c r="A40" s="88"/>
      <c r="B40" s="37" t="s">
        <v>40</v>
      </c>
      <c r="C40" s="89"/>
      <c r="D40" s="90"/>
      <c r="E40" s="27"/>
      <c r="F40" s="81">
        <f>F41</f>
        <v>120000</v>
      </c>
      <c r="G40" s="81">
        <f>G41</f>
        <v>0</v>
      </c>
      <c r="H40" s="23"/>
      <c r="I40" s="81">
        <f t="shared" ref="I40:I43" si="7">F40</f>
        <v>120000</v>
      </c>
    </row>
    <row r="41" spans="1:9" ht="36" customHeight="1" x14ac:dyDescent="0.25">
      <c r="A41" s="2"/>
      <c r="B41" s="21" t="s">
        <v>90</v>
      </c>
      <c r="C41" s="3" t="s">
        <v>59</v>
      </c>
      <c r="D41" s="65">
        <v>1</v>
      </c>
      <c r="E41" s="76">
        <v>120000</v>
      </c>
      <c r="F41" s="82">
        <f>D41*E41</f>
        <v>120000</v>
      </c>
      <c r="G41" s="24"/>
      <c r="H41" s="24"/>
      <c r="I41" s="82">
        <f t="shared" si="7"/>
        <v>120000</v>
      </c>
    </row>
    <row r="42" spans="1:9" x14ac:dyDescent="0.25">
      <c r="A42" s="2"/>
      <c r="B42" s="37" t="s">
        <v>91</v>
      </c>
      <c r="C42" s="89"/>
      <c r="D42" s="90"/>
      <c r="E42" s="27"/>
      <c r="F42" s="81">
        <f>F43</f>
        <v>320000</v>
      </c>
      <c r="G42" s="81">
        <f>G43</f>
        <v>0</v>
      </c>
      <c r="H42" s="28"/>
      <c r="I42" s="81">
        <f t="shared" si="7"/>
        <v>320000</v>
      </c>
    </row>
    <row r="43" spans="1:9" x14ac:dyDescent="0.25">
      <c r="A43" s="2"/>
      <c r="B43" s="21" t="s">
        <v>66</v>
      </c>
      <c r="C43" s="3" t="s">
        <v>59</v>
      </c>
      <c r="D43" s="65">
        <v>8</v>
      </c>
      <c r="E43" s="76">
        <v>40000</v>
      </c>
      <c r="F43" s="82">
        <f t="shared" ref="F43" si="8">D43*E43</f>
        <v>320000</v>
      </c>
      <c r="G43" s="29"/>
      <c r="H43" s="29"/>
      <c r="I43" s="82">
        <f t="shared" si="7"/>
        <v>320000</v>
      </c>
    </row>
    <row r="44" spans="1:9" x14ac:dyDescent="0.25">
      <c r="A44" s="16"/>
      <c r="B44" s="17" t="s">
        <v>14</v>
      </c>
      <c r="C44" s="5"/>
      <c r="D44" s="69"/>
      <c r="E44" s="27"/>
      <c r="F44" s="81">
        <f>F9+F22+F26</f>
        <v>3846800.25</v>
      </c>
      <c r="G44" s="81">
        <f>G9+G22+G26</f>
        <v>814468.91999999993</v>
      </c>
      <c r="H44" s="28"/>
      <c r="I44" s="81">
        <f>I9+I22+I26</f>
        <v>3846800.25</v>
      </c>
    </row>
    <row r="45" spans="1:9" x14ac:dyDescent="0.25">
      <c r="A45" s="45"/>
      <c r="B45" s="46"/>
      <c r="C45" s="47"/>
      <c r="D45" s="70"/>
      <c r="E45" s="48"/>
      <c r="F45" s="49"/>
      <c r="G45" s="50"/>
      <c r="H45" s="50"/>
      <c r="I45" s="49"/>
    </row>
    <row r="46" spans="1:9" s="35" customFormat="1" x14ac:dyDescent="0.25">
      <c r="A46" s="31"/>
      <c r="B46" s="91" t="s">
        <v>51</v>
      </c>
      <c r="C46" s="32"/>
      <c r="D46" s="71"/>
      <c r="E46" s="33"/>
      <c r="F46" s="33"/>
      <c r="G46" s="34"/>
      <c r="H46" s="34"/>
      <c r="I46" s="38"/>
    </row>
    <row r="47" spans="1:9" s="35" customFormat="1" x14ac:dyDescent="0.25">
      <c r="A47" s="31"/>
      <c r="B47" s="91"/>
      <c r="C47" s="32"/>
      <c r="D47" s="71"/>
      <c r="E47" s="33"/>
      <c r="F47" s="33"/>
      <c r="G47" s="34"/>
      <c r="H47" s="34"/>
      <c r="I47" s="38"/>
    </row>
    <row r="48" spans="1:9" s="35" customFormat="1" x14ac:dyDescent="0.25">
      <c r="A48" s="31"/>
      <c r="B48" s="36" t="s">
        <v>52</v>
      </c>
      <c r="C48" s="32"/>
      <c r="D48" s="71"/>
      <c r="E48" s="33"/>
      <c r="F48" s="33"/>
      <c r="G48" s="34"/>
      <c r="H48" s="34"/>
      <c r="I48" s="34"/>
    </row>
    <row r="49" spans="1:9" s="35" customFormat="1" x14ac:dyDescent="0.25">
      <c r="A49" s="31"/>
      <c r="B49" s="36" t="s">
        <v>55</v>
      </c>
      <c r="C49" s="32"/>
      <c r="D49" s="71"/>
      <c r="E49" s="33"/>
      <c r="F49" s="33"/>
      <c r="G49" s="34"/>
      <c r="H49" s="34"/>
      <c r="I49" s="34"/>
    </row>
    <row r="50" spans="1:9" s="35" customFormat="1" x14ac:dyDescent="0.25">
      <c r="A50" s="31"/>
      <c r="B50" s="4"/>
      <c r="C50" s="32"/>
      <c r="D50" s="71"/>
      <c r="E50" s="33"/>
      <c r="F50" s="33"/>
      <c r="G50" s="34"/>
      <c r="H50" s="34"/>
      <c r="I50" s="34"/>
    </row>
    <row r="51" spans="1:9" s="35" customFormat="1" ht="15" x14ac:dyDescent="0.25">
      <c r="A51" s="31"/>
      <c r="B51" s="159" t="s">
        <v>56</v>
      </c>
      <c r="C51" s="160"/>
      <c r="D51" s="160"/>
      <c r="E51" s="160"/>
      <c r="F51" s="160"/>
      <c r="G51" s="160"/>
      <c r="H51" s="160"/>
      <c r="I51" s="34"/>
    </row>
    <row r="52" spans="1:9" s="35" customFormat="1" x14ac:dyDescent="0.25">
      <c r="A52" s="31"/>
      <c r="B52" s="161" t="s">
        <v>57</v>
      </c>
      <c r="C52" s="161"/>
      <c r="D52" s="161"/>
      <c r="E52" s="33"/>
      <c r="F52" s="33"/>
      <c r="G52" s="34"/>
      <c r="H52" s="34"/>
      <c r="I52" s="34"/>
    </row>
    <row r="53" spans="1:9" s="35" customFormat="1" x14ac:dyDescent="0.25">
      <c r="A53" s="31"/>
      <c r="B53" s="36" t="s">
        <v>53</v>
      </c>
      <c r="C53" s="32"/>
      <c r="D53" s="71"/>
      <c r="E53" s="33"/>
      <c r="F53" s="33"/>
      <c r="G53" s="34"/>
      <c r="H53" s="34"/>
      <c r="I53" s="34"/>
    </row>
    <row r="54" spans="1:9" s="35" customFormat="1" x14ac:dyDescent="0.25">
      <c r="A54" s="31"/>
      <c r="B54" s="36"/>
      <c r="C54" s="32"/>
      <c r="D54" s="71"/>
      <c r="E54" s="33"/>
      <c r="F54" s="33"/>
      <c r="G54" s="34"/>
      <c r="H54" s="34"/>
      <c r="I54" s="34"/>
    </row>
    <row r="55" spans="1:9" s="54" customFormat="1" x14ac:dyDescent="0.25">
      <c r="A55" s="51"/>
      <c r="B55" s="36" t="s">
        <v>54</v>
      </c>
      <c r="C55" s="86"/>
      <c r="D55" s="72"/>
      <c r="E55" s="86"/>
      <c r="F55" s="86"/>
      <c r="G55" s="86"/>
      <c r="H55" s="86"/>
      <c r="I55" s="53"/>
    </row>
    <row r="56" spans="1:9" s="54" customFormat="1" x14ac:dyDescent="0.25">
      <c r="A56" s="51"/>
      <c r="B56" s="36" t="s">
        <v>73</v>
      </c>
      <c r="C56" s="86"/>
      <c r="D56" s="72"/>
      <c r="E56" s="86"/>
      <c r="F56" s="86"/>
      <c r="G56" s="86"/>
      <c r="H56" s="86"/>
      <c r="I56" s="53"/>
    </row>
    <row r="57" spans="1:9" s="54" customFormat="1" x14ac:dyDescent="0.25">
      <c r="A57" s="51"/>
      <c r="B57" s="36"/>
      <c r="C57" s="86"/>
      <c r="D57" s="72"/>
      <c r="E57" s="86"/>
      <c r="F57" s="86"/>
      <c r="G57" s="86"/>
      <c r="H57" s="86"/>
      <c r="I57" s="53"/>
    </row>
    <row r="58" spans="1:9" s="54" customFormat="1" x14ac:dyDescent="0.25">
      <c r="A58" s="56"/>
      <c r="B58" s="4" t="s">
        <v>74</v>
      </c>
      <c r="C58" s="86"/>
      <c r="D58" s="72"/>
      <c r="E58" s="86"/>
      <c r="F58" s="86"/>
      <c r="G58" s="86"/>
      <c r="H58" s="86"/>
      <c r="I58" s="53"/>
    </row>
    <row r="59" spans="1:9" s="54" customFormat="1" x14ac:dyDescent="0.25">
      <c r="A59" s="56"/>
      <c r="B59" s="4"/>
      <c r="C59" s="86"/>
      <c r="D59" s="72"/>
      <c r="E59" s="86"/>
      <c r="F59" s="86"/>
      <c r="G59" s="86"/>
      <c r="H59" s="86"/>
      <c r="I59" s="53"/>
    </row>
    <row r="60" spans="1:9" s="35" customFormat="1" x14ac:dyDescent="0.25">
      <c r="A60" s="31"/>
      <c r="B60" s="4" t="s">
        <v>75</v>
      </c>
      <c r="C60" s="32"/>
      <c r="D60" s="71"/>
      <c r="E60" s="33"/>
      <c r="F60" s="33"/>
      <c r="G60" s="34"/>
      <c r="H60" s="34"/>
      <c r="I60" s="34"/>
    </row>
    <row r="61" spans="1:9" s="35" customFormat="1" x14ac:dyDescent="0.25">
      <c r="A61" s="31"/>
      <c r="B61" s="4"/>
      <c r="C61" s="32"/>
      <c r="D61" s="71"/>
      <c r="E61" s="33"/>
      <c r="F61" s="33"/>
      <c r="G61" s="34"/>
      <c r="H61" s="34"/>
      <c r="I61" s="34"/>
    </row>
    <row r="62" spans="1:9" s="54" customFormat="1" x14ac:dyDescent="0.25">
      <c r="A62" s="56"/>
      <c r="B62" s="4" t="s">
        <v>77</v>
      </c>
      <c r="C62" s="86"/>
      <c r="D62" s="72"/>
      <c r="E62" s="86"/>
      <c r="F62" s="86"/>
      <c r="G62" s="86"/>
      <c r="H62" s="86"/>
      <c r="I62" s="53"/>
    </row>
    <row r="63" spans="1:9" s="54" customFormat="1" x14ac:dyDescent="0.25">
      <c r="A63" s="51"/>
      <c r="B63" s="36"/>
      <c r="C63" s="86"/>
      <c r="D63" s="72"/>
      <c r="E63" s="86"/>
      <c r="F63" s="86"/>
      <c r="G63" s="86"/>
      <c r="H63" s="86"/>
      <c r="I63" s="53"/>
    </row>
    <row r="64" spans="1:9" s="54" customFormat="1" x14ac:dyDescent="0.25">
      <c r="A64" s="51"/>
      <c r="B64" s="36"/>
      <c r="C64" s="86"/>
      <c r="D64" s="72"/>
      <c r="E64" s="86"/>
      <c r="F64" s="86"/>
      <c r="G64" s="86"/>
      <c r="H64" s="86"/>
      <c r="I64" s="53"/>
    </row>
  </sheetData>
  <mergeCells count="14">
    <mergeCell ref="F7:F8"/>
    <mergeCell ref="G7:I7"/>
    <mergeCell ref="B51:H51"/>
    <mergeCell ref="B52:D52"/>
    <mergeCell ref="G1:I1"/>
    <mergeCell ref="A2:I2"/>
    <mergeCell ref="A3:I3"/>
    <mergeCell ref="A4:I4"/>
    <mergeCell ref="A5:I5"/>
    <mergeCell ref="A7:A8"/>
    <mergeCell ref="B7:B8"/>
    <mergeCell ref="C7:C8"/>
    <mergeCell ref="D7:D8"/>
    <mergeCell ref="E7:E8"/>
  </mergeCells>
  <pageMargins left="0.7" right="0.7" top="0.75" bottom="0.75" header="0.3" footer="0.3"/>
  <pageSetup paperSize="9" scale="4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I44"/>
  <sheetViews>
    <sheetView topLeftCell="A30" workbookViewId="0">
      <selection activeCell="H38" sqref="H38"/>
    </sheetView>
  </sheetViews>
  <sheetFormatPr defaultRowHeight="15" x14ac:dyDescent="0.25"/>
  <cols>
    <col min="1" max="1" width="5.85546875" customWidth="1"/>
    <col min="2" max="2" width="32.140625" customWidth="1"/>
    <col min="3" max="3" width="9.42578125" style="100" customWidth="1"/>
    <col min="4" max="4" width="10.85546875" style="101" customWidth="1"/>
    <col min="5" max="7" width="8.7109375" style="102"/>
    <col min="8" max="8" width="24.5703125" style="102" customWidth="1"/>
    <col min="9" max="9" width="13.28515625" style="100" customWidth="1"/>
  </cols>
  <sheetData>
    <row r="6" spans="1:9" x14ac:dyDescent="0.25">
      <c r="A6" s="176" t="s">
        <v>0</v>
      </c>
      <c r="B6" s="176" t="s">
        <v>49</v>
      </c>
      <c r="C6" s="177" t="s">
        <v>97</v>
      </c>
      <c r="D6" s="177" t="s">
        <v>98</v>
      </c>
      <c r="E6" s="177" t="s">
        <v>99</v>
      </c>
      <c r="F6" s="106" t="s">
        <v>100</v>
      </c>
      <c r="G6" s="106" t="s">
        <v>102</v>
      </c>
      <c r="H6" s="177" t="s">
        <v>104</v>
      </c>
      <c r="I6" s="106" t="s">
        <v>105</v>
      </c>
    </row>
    <row r="7" spans="1:9" ht="25.5" x14ac:dyDescent="0.25">
      <c r="A7" s="176"/>
      <c r="B7" s="176"/>
      <c r="C7" s="177"/>
      <c r="D7" s="177"/>
      <c r="E7" s="177"/>
      <c r="F7" s="106" t="s">
        <v>101</v>
      </c>
      <c r="G7" s="106" t="s">
        <v>103</v>
      </c>
      <c r="H7" s="177"/>
      <c r="I7" s="106" t="s">
        <v>106</v>
      </c>
    </row>
    <row r="8" spans="1:9" x14ac:dyDescent="0.25">
      <c r="A8" s="107"/>
      <c r="B8" s="107">
        <v>1</v>
      </c>
      <c r="C8" s="108">
        <v>2</v>
      </c>
      <c r="D8" s="108">
        <v>3</v>
      </c>
      <c r="E8" s="108">
        <v>4</v>
      </c>
      <c r="F8" s="108">
        <v>5</v>
      </c>
      <c r="G8" s="108">
        <v>6</v>
      </c>
      <c r="H8" s="108">
        <v>7</v>
      </c>
      <c r="I8" s="108">
        <v>8</v>
      </c>
    </row>
    <row r="9" spans="1:9" x14ac:dyDescent="0.25">
      <c r="A9" s="109">
        <v>1</v>
      </c>
      <c r="B9" s="93" t="s">
        <v>8</v>
      </c>
      <c r="C9" s="103">
        <f>'2020 смета ГЦ (2)'!F9</f>
        <v>2727400.25</v>
      </c>
      <c r="D9" s="110">
        <f>D10+D16+D17+D18+D19</f>
        <v>1135957.8400000001</v>
      </c>
      <c r="E9" s="103"/>
      <c r="F9" s="103">
        <f>D9+E9</f>
        <v>1135957.8400000001</v>
      </c>
      <c r="G9" s="103">
        <f>C9-F9</f>
        <v>1591442.41</v>
      </c>
      <c r="H9" s="103"/>
      <c r="I9" s="103"/>
    </row>
    <row r="10" spans="1:9" x14ac:dyDescent="0.25">
      <c r="A10" s="109">
        <f>A9+1</f>
        <v>2</v>
      </c>
      <c r="B10" s="93" t="s">
        <v>42</v>
      </c>
      <c r="C10" s="103">
        <f>'2020 смета ГЦ (2)'!F10</f>
        <v>2275000</v>
      </c>
      <c r="D10" s="110">
        <f>D11+D12+D13+D14+D15</f>
        <v>918190</v>
      </c>
      <c r="E10" s="111"/>
      <c r="F10" s="103">
        <f t="shared" ref="F10:F44" si="0">D10+E10</f>
        <v>918190</v>
      </c>
      <c r="G10" s="103">
        <f t="shared" ref="G10:G44" si="1">C10-F10</f>
        <v>1356810</v>
      </c>
      <c r="H10" s="103"/>
      <c r="I10" s="103"/>
    </row>
    <row r="11" spans="1:9" ht="153" x14ac:dyDescent="0.25">
      <c r="A11" s="109">
        <f t="shared" ref="A11:A44" si="2">A10+1</f>
        <v>3</v>
      </c>
      <c r="B11" s="94" t="s">
        <v>92</v>
      </c>
      <c r="C11" s="111">
        <f>'2020 смета ГЦ (2)'!F11</f>
        <v>455000</v>
      </c>
      <c r="D11" s="112">
        <v>183638</v>
      </c>
      <c r="E11" s="111"/>
      <c r="F11" s="111">
        <f>D11+E11</f>
        <v>183638</v>
      </c>
      <c r="G11" s="111">
        <f t="shared" si="1"/>
        <v>271362</v>
      </c>
      <c r="H11" s="111" t="s">
        <v>109</v>
      </c>
      <c r="I11" s="111" t="s">
        <v>121</v>
      </c>
    </row>
    <row r="12" spans="1:9" ht="127.5" x14ac:dyDescent="0.25">
      <c r="A12" s="109">
        <f t="shared" si="2"/>
        <v>4</v>
      </c>
      <c r="B12" s="94" t="s">
        <v>94</v>
      </c>
      <c r="C12" s="111">
        <f>'2020 смета ГЦ (2)'!F12</f>
        <v>455000</v>
      </c>
      <c r="D12" s="112">
        <v>183638</v>
      </c>
      <c r="E12" s="111"/>
      <c r="F12" s="111">
        <f t="shared" si="0"/>
        <v>183638</v>
      </c>
      <c r="G12" s="111">
        <f t="shared" si="1"/>
        <v>271362</v>
      </c>
      <c r="H12" s="111" t="s">
        <v>112</v>
      </c>
      <c r="I12" s="111" t="s">
        <v>121</v>
      </c>
    </row>
    <row r="13" spans="1:9" ht="114.75" x14ac:dyDescent="0.25">
      <c r="A13" s="109">
        <f t="shared" si="2"/>
        <v>5</v>
      </c>
      <c r="B13" s="94" t="s">
        <v>93</v>
      </c>
      <c r="C13" s="111">
        <f>'2020 смета ГЦ (2)'!F13</f>
        <v>455000</v>
      </c>
      <c r="D13" s="112">
        <v>183638</v>
      </c>
      <c r="E13" s="111"/>
      <c r="F13" s="111">
        <f t="shared" si="0"/>
        <v>183638</v>
      </c>
      <c r="G13" s="111">
        <f t="shared" si="1"/>
        <v>271362</v>
      </c>
      <c r="H13" s="111" t="s">
        <v>111</v>
      </c>
      <c r="I13" s="111" t="s">
        <v>121</v>
      </c>
    </row>
    <row r="14" spans="1:9" ht="127.5" x14ac:dyDescent="0.25">
      <c r="A14" s="109">
        <f t="shared" si="2"/>
        <v>6</v>
      </c>
      <c r="B14" s="94" t="s">
        <v>95</v>
      </c>
      <c r="C14" s="111">
        <f>'2020 смета ГЦ (2)'!F14</f>
        <v>455000</v>
      </c>
      <c r="D14" s="112">
        <v>183638</v>
      </c>
      <c r="E14" s="105"/>
      <c r="F14" s="111">
        <f t="shared" si="0"/>
        <v>183638</v>
      </c>
      <c r="G14" s="111">
        <f t="shared" si="1"/>
        <v>271362</v>
      </c>
      <c r="H14" s="111" t="s">
        <v>113</v>
      </c>
      <c r="I14" s="111" t="s">
        <v>121</v>
      </c>
    </row>
    <row r="15" spans="1:9" ht="127.5" x14ac:dyDescent="0.25">
      <c r="A15" s="109">
        <f t="shared" si="2"/>
        <v>7</v>
      </c>
      <c r="B15" s="94" t="s">
        <v>96</v>
      </c>
      <c r="C15" s="111">
        <f>'2020 смета ГЦ (2)'!F15</f>
        <v>455000</v>
      </c>
      <c r="D15" s="112">
        <v>183638</v>
      </c>
      <c r="E15" s="105"/>
      <c r="F15" s="111">
        <f t="shared" si="0"/>
        <v>183638</v>
      </c>
      <c r="G15" s="111">
        <f t="shared" si="1"/>
        <v>271362</v>
      </c>
      <c r="H15" s="111" t="s">
        <v>110</v>
      </c>
      <c r="I15" s="111" t="s">
        <v>121</v>
      </c>
    </row>
    <row r="16" spans="1:9" ht="51" x14ac:dyDescent="0.25">
      <c r="A16" s="109">
        <f t="shared" si="2"/>
        <v>8</v>
      </c>
      <c r="B16" s="95" t="s">
        <v>43</v>
      </c>
      <c r="C16" s="103">
        <f>'2020 смета ГЦ (2)'!F16</f>
        <v>192351.25</v>
      </c>
      <c r="D16" s="104">
        <f>28660+48280</f>
        <v>76940</v>
      </c>
      <c r="E16" s="105"/>
      <c r="F16" s="103">
        <f t="shared" si="0"/>
        <v>76940</v>
      </c>
      <c r="G16" s="103">
        <f t="shared" si="1"/>
        <v>115411.25</v>
      </c>
      <c r="H16" s="111" t="s">
        <v>108</v>
      </c>
      <c r="I16" s="111" t="s">
        <v>121</v>
      </c>
    </row>
    <row r="17" spans="1:9" ht="38.25" x14ac:dyDescent="0.25">
      <c r="A17" s="109">
        <f t="shared" si="2"/>
        <v>9</v>
      </c>
      <c r="B17" s="93" t="s">
        <v>85</v>
      </c>
      <c r="C17" s="103">
        <f>'2020 смета ГЦ (2)'!F17</f>
        <v>45500</v>
      </c>
      <c r="D17" s="104">
        <v>19110</v>
      </c>
      <c r="E17" s="105"/>
      <c r="F17" s="103">
        <f t="shared" si="0"/>
        <v>19110</v>
      </c>
      <c r="G17" s="103">
        <f t="shared" si="1"/>
        <v>26390</v>
      </c>
      <c r="H17" s="111" t="s">
        <v>107</v>
      </c>
      <c r="I17" s="111" t="s">
        <v>121</v>
      </c>
    </row>
    <row r="18" spans="1:9" x14ac:dyDescent="0.25">
      <c r="A18" s="109">
        <f t="shared" si="2"/>
        <v>10</v>
      </c>
      <c r="B18" s="95" t="s">
        <v>44</v>
      </c>
      <c r="C18" s="103">
        <f>'2020 смета ГЦ (2)'!F18</f>
        <v>14549</v>
      </c>
      <c r="D18" s="104">
        <v>41717.839999999997</v>
      </c>
      <c r="E18" s="105"/>
      <c r="F18" s="103">
        <f t="shared" si="0"/>
        <v>41717.839999999997</v>
      </c>
      <c r="G18" s="103">
        <f t="shared" si="1"/>
        <v>-27168.839999999997</v>
      </c>
      <c r="H18" s="105" t="s">
        <v>114</v>
      </c>
      <c r="I18" s="111"/>
    </row>
    <row r="19" spans="1:9" ht="38.25" x14ac:dyDescent="0.25">
      <c r="A19" s="109">
        <f t="shared" si="2"/>
        <v>11</v>
      </c>
      <c r="B19" s="96" t="s">
        <v>86</v>
      </c>
      <c r="C19" s="103">
        <f>'2020 смета ГЦ (2)'!F19</f>
        <v>200000</v>
      </c>
      <c r="D19" s="104">
        <f>D20+D21</f>
        <v>80000</v>
      </c>
      <c r="E19" s="105"/>
      <c r="F19" s="103">
        <f t="shared" si="0"/>
        <v>80000</v>
      </c>
      <c r="G19" s="103">
        <f t="shared" si="1"/>
        <v>120000</v>
      </c>
      <c r="H19" s="105"/>
      <c r="I19" s="111" t="s">
        <v>121</v>
      </c>
    </row>
    <row r="20" spans="1:9" ht="51" x14ac:dyDescent="0.25">
      <c r="A20" s="109">
        <f t="shared" si="2"/>
        <v>12</v>
      </c>
      <c r="B20" s="97" t="s">
        <v>88</v>
      </c>
      <c r="C20" s="103">
        <f>'2020 смета ГЦ (2)'!F20</f>
        <v>100000</v>
      </c>
      <c r="D20" s="113">
        <v>40000</v>
      </c>
      <c r="E20" s="105"/>
      <c r="F20" s="103">
        <f t="shared" si="0"/>
        <v>40000</v>
      </c>
      <c r="G20" s="103">
        <f t="shared" si="1"/>
        <v>60000</v>
      </c>
      <c r="H20" s="111" t="s">
        <v>118</v>
      </c>
      <c r="I20" s="111" t="s">
        <v>121</v>
      </c>
    </row>
    <row r="21" spans="1:9" ht="51" x14ac:dyDescent="0.25">
      <c r="A21" s="109">
        <f t="shared" si="2"/>
        <v>13</v>
      </c>
      <c r="B21" s="94" t="s">
        <v>50</v>
      </c>
      <c r="C21" s="103">
        <f>'2020 смета ГЦ (2)'!F21</f>
        <v>100000</v>
      </c>
      <c r="D21" s="113">
        <v>40000</v>
      </c>
      <c r="E21" s="105"/>
      <c r="F21" s="103">
        <f t="shared" si="0"/>
        <v>40000</v>
      </c>
      <c r="G21" s="103">
        <f t="shared" si="1"/>
        <v>60000</v>
      </c>
      <c r="H21" s="111" t="s">
        <v>115</v>
      </c>
      <c r="I21" s="111" t="s">
        <v>121</v>
      </c>
    </row>
    <row r="22" spans="1:9" ht="25.5" x14ac:dyDescent="0.25">
      <c r="A22" s="109">
        <f t="shared" si="2"/>
        <v>14</v>
      </c>
      <c r="B22" s="93" t="s">
        <v>82</v>
      </c>
      <c r="C22" s="103">
        <f>'2020 смета ГЦ (2)'!F22</f>
        <v>350000</v>
      </c>
      <c r="D22" s="104">
        <f>D23+D24+D25</f>
        <v>350000</v>
      </c>
      <c r="E22" s="105"/>
      <c r="F22" s="103">
        <f t="shared" si="0"/>
        <v>350000</v>
      </c>
      <c r="G22" s="103">
        <f t="shared" si="1"/>
        <v>0</v>
      </c>
      <c r="H22" s="105"/>
      <c r="I22" s="105"/>
    </row>
    <row r="23" spans="1:9" ht="15" customHeight="1" x14ac:dyDescent="0.25">
      <c r="A23" s="109">
        <f t="shared" si="2"/>
        <v>15</v>
      </c>
      <c r="B23" s="98" t="s">
        <v>79</v>
      </c>
      <c r="C23" s="103">
        <f>'2020 смета ГЦ (2)'!F23</f>
        <v>180000</v>
      </c>
      <c r="D23" s="113">
        <v>180000</v>
      </c>
      <c r="E23" s="105"/>
      <c r="F23" s="103">
        <f t="shared" si="0"/>
        <v>180000</v>
      </c>
      <c r="G23" s="103">
        <f t="shared" si="1"/>
        <v>0</v>
      </c>
      <c r="H23" s="173" t="s">
        <v>119</v>
      </c>
      <c r="I23" s="105"/>
    </row>
    <row r="24" spans="1:9" ht="18" customHeight="1" x14ac:dyDescent="0.25">
      <c r="A24" s="109">
        <f t="shared" si="2"/>
        <v>16</v>
      </c>
      <c r="B24" s="98" t="s">
        <v>80</v>
      </c>
      <c r="C24" s="103">
        <f>'2020 смета ГЦ (2)'!F24</f>
        <v>20000</v>
      </c>
      <c r="D24" s="113">
        <v>20000</v>
      </c>
      <c r="E24" s="105"/>
      <c r="F24" s="103">
        <f t="shared" si="0"/>
        <v>20000</v>
      </c>
      <c r="G24" s="103">
        <f t="shared" si="1"/>
        <v>0</v>
      </c>
      <c r="H24" s="174"/>
      <c r="I24" s="105"/>
    </row>
    <row r="25" spans="1:9" ht="18.95" customHeight="1" x14ac:dyDescent="0.25">
      <c r="A25" s="109">
        <f t="shared" si="2"/>
        <v>17</v>
      </c>
      <c r="B25" s="98" t="s">
        <v>81</v>
      </c>
      <c r="C25" s="103">
        <f>'2020 смета ГЦ (2)'!F25</f>
        <v>150000</v>
      </c>
      <c r="D25" s="113">
        <v>150000</v>
      </c>
      <c r="E25" s="105"/>
      <c r="F25" s="103">
        <f t="shared" si="0"/>
        <v>150000</v>
      </c>
      <c r="G25" s="103">
        <f t="shared" si="1"/>
        <v>0</v>
      </c>
      <c r="H25" s="175"/>
      <c r="I25" s="105"/>
    </row>
    <row r="26" spans="1:9" x14ac:dyDescent="0.25">
      <c r="A26" s="109">
        <f t="shared" si="2"/>
        <v>18</v>
      </c>
      <c r="B26" s="93" t="s">
        <v>9</v>
      </c>
      <c r="C26" s="103">
        <f>'2020 смета ГЦ (2)'!F26</f>
        <v>769400</v>
      </c>
      <c r="D26" s="104">
        <f>D27+D32+D39</f>
        <v>123900</v>
      </c>
      <c r="E26" s="105"/>
      <c r="F26" s="103">
        <f t="shared" si="0"/>
        <v>123900</v>
      </c>
      <c r="G26" s="103">
        <f t="shared" si="1"/>
        <v>645500</v>
      </c>
      <c r="H26" s="105"/>
      <c r="I26" s="105"/>
    </row>
    <row r="27" spans="1:9" ht="25.5" x14ac:dyDescent="0.25">
      <c r="A27" s="109">
        <f t="shared" si="2"/>
        <v>19</v>
      </c>
      <c r="B27" s="93" t="s">
        <v>83</v>
      </c>
      <c r="C27" s="103">
        <f>'2020 смета ГЦ (2)'!F27</f>
        <v>200000</v>
      </c>
      <c r="D27" s="113">
        <f>D28</f>
        <v>0</v>
      </c>
      <c r="E27" s="105"/>
      <c r="F27" s="103">
        <f t="shared" si="0"/>
        <v>0</v>
      </c>
      <c r="G27" s="103">
        <f t="shared" si="1"/>
        <v>200000</v>
      </c>
      <c r="H27" s="105"/>
      <c r="I27" s="105"/>
    </row>
    <row r="28" spans="1:9" ht="38.25" x14ac:dyDescent="0.25">
      <c r="A28" s="109">
        <f t="shared" si="2"/>
        <v>20</v>
      </c>
      <c r="B28" s="93" t="s">
        <v>41</v>
      </c>
      <c r="C28" s="103">
        <f>'2020 смета ГЦ (2)'!F28</f>
        <v>200000</v>
      </c>
      <c r="D28" s="113">
        <f>D29+D30+D31</f>
        <v>0</v>
      </c>
      <c r="E28" s="105"/>
      <c r="F28" s="103">
        <f t="shared" si="0"/>
        <v>0</v>
      </c>
      <c r="G28" s="103">
        <f t="shared" si="1"/>
        <v>200000</v>
      </c>
      <c r="H28" s="105"/>
      <c r="I28" s="111" t="s">
        <v>121</v>
      </c>
    </row>
    <row r="29" spans="1:9" ht="38.25" x14ac:dyDescent="0.25">
      <c r="A29" s="109">
        <f t="shared" si="2"/>
        <v>21</v>
      </c>
      <c r="B29" s="94" t="s">
        <v>60</v>
      </c>
      <c r="C29" s="103">
        <f>'2020 смета ГЦ (2)'!F29</f>
        <v>70000</v>
      </c>
      <c r="D29" s="113"/>
      <c r="E29" s="105"/>
      <c r="F29" s="103">
        <f t="shared" si="0"/>
        <v>0</v>
      </c>
      <c r="G29" s="103">
        <f t="shared" si="1"/>
        <v>70000</v>
      </c>
      <c r="H29" s="105"/>
      <c r="I29" s="111" t="s">
        <v>121</v>
      </c>
    </row>
    <row r="30" spans="1:9" ht="38.25" x14ac:dyDescent="0.25">
      <c r="A30" s="109">
        <f t="shared" si="2"/>
        <v>22</v>
      </c>
      <c r="B30" s="94" t="s">
        <v>61</v>
      </c>
      <c r="C30" s="103">
        <f>'2020 смета ГЦ (2)'!F30</f>
        <v>30000</v>
      </c>
      <c r="D30" s="113"/>
      <c r="E30" s="105"/>
      <c r="F30" s="103">
        <f t="shared" si="0"/>
        <v>0</v>
      </c>
      <c r="G30" s="103">
        <f t="shared" si="1"/>
        <v>30000</v>
      </c>
      <c r="H30" s="105"/>
      <c r="I30" s="111" t="s">
        <v>121</v>
      </c>
    </row>
    <row r="31" spans="1:9" ht="38.25" x14ac:dyDescent="0.25">
      <c r="A31" s="109">
        <f t="shared" si="2"/>
        <v>23</v>
      </c>
      <c r="B31" s="94" t="s">
        <v>89</v>
      </c>
      <c r="C31" s="103">
        <f>'2020 смета ГЦ (2)'!F31</f>
        <v>100000</v>
      </c>
      <c r="D31" s="113"/>
      <c r="E31" s="105"/>
      <c r="F31" s="103">
        <f t="shared" si="0"/>
        <v>0</v>
      </c>
      <c r="G31" s="103">
        <f t="shared" si="1"/>
        <v>100000</v>
      </c>
      <c r="H31" s="105"/>
      <c r="I31" s="111" t="s">
        <v>121</v>
      </c>
    </row>
    <row r="32" spans="1:9" ht="25.5" x14ac:dyDescent="0.25">
      <c r="A32" s="109">
        <f t="shared" si="2"/>
        <v>24</v>
      </c>
      <c r="B32" s="93" t="s">
        <v>84</v>
      </c>
      <c r="C32" s="103">
        <f>'2020 смета ГЦ (2)'!F32</f>
        <v>129400</v>
      </c>
      <c r="D32" s="104">
        <f>D33+D37</f>
        <v>123900</v>
      </c>
      <c r="E32" s="105"/>
      <c r="F32" s="103">
        <f t="shared" si="0"/>
        <v>123900</v>
      </c>
      <c r="G32" s="103">
        <f t="shared" si="1"/>
        <v>5500</v>
      </c>
      <c r="H32" s="105"/>
      <c r="I32" s="105"/>
    </row>
    <row r="33" spans="1:9" ht="25.5" x14ac:dyDescent="0.25">
      <c r="A33" s="109">
        <f t="shared" si="2"/>
        <v>25</v>
      </c>
      <c r="B33" s="93" t="s">
        <v>40</v>
      </c>
      <c r="C33" s="103">
        <f>'2020 смета ГЦ (2)'!F33</f>
        <v>29400</v>
      </c>
      <c r="D33" s="110">
        <f>'2020 смета ГЦ (2)'!G33</f>
        <v>29400</v>
      </c>
      <c r="E33" s="105"/>
      <c r="F33" s="103">
        <f t="shared" si="0"/>
        <v>29400</v>
      </c>
      <c r="G33" s="103">
        <f t="shared" si="1"/>
        <v>0</v>
      </c>
      <c r="H33" s="105"/>
      <c r="I33" s="105"/>
    </row>
    <row r="34" spans="1:9" ht="21.6" customHeight="1" x14ac:dyDescent="0.25">
      <c r="A34" s="109">
        <f t="shared" si="2"/>
        <v>26</v>
      </c>
      <c r="B34" s="98" t="s">
        <v>37</v>
      </c>
      <c r="C34" s="103">
        <f>'2020 смета ГЦ (2)'!F34</f>
        <v>16800</v>
      </c>
      <c r="D34" s="112">
        <f>'2020 смета ГЦ (2)'!G34</f>
        <v>16800</v>
      </c>
      <c r="E34" s="105"/>
      <c r="F34" s="103">
        <f t="shared" si="0"/>
        <v>16800</v>
      </c>
      <c r="G34" s="103">
        <f t="shared" si="1"/>
        <v>0</v>
      </c>
      <c r="H34" s="173" t="s">
        <v>120</v>
      </c>
      <c r="I34" s="105"/>
    </row>
    <row r="35" spans="1:9" ht="21.6" customHeight="1" x14ac:dyDescent="0.25">
      <c r="A35" s="109">
        <f t="shared" si="2"/>
        <v>27</v>
      </c>
      <c r="B35" s="98" t="s">
        <v>38</v>
      </c>
      <c r="C35" s="103">
        <f>'2020 смета ГЦ (2)'!F35</f>
        <v>2400</v>
      </c>
      <c r="D35" s="112">
        <f>'2020 смета ГЦ (2)'!G35</f>
        <v>2400</v>
      </c>
      <c r="E35" s="105"/>
      <c r="F35" s="103">
        <f t="shared" si="0"/>
        <v>2400</v>
      </c>
      <c r="G35" s="103">
        <f t="shared" si="1"/>
        <v>0</v>
      </c>
      <c r="H35" s="174"/>
      <c r="I35" s="105"/>
    </row>
    <row r="36" spans="1:9" ht="21.6" customHeight="1" x14ac:dyDescent="0.25">
      <c r="A36" s="109">
        <f t="shared" si="2"/>
        <v>28</v>
      </c>
      <c r="B36" s="98" t="s">
        <v>39</v>
      </c>
      <c r="C36" s="103">
        <f>'2020 смета ГЦ (2)'!F36</f>
        <v>10200</v>
      </c>
      <c r="D36" s="112">
        <f>'2020 смета ГЦ (2)'!G36</f>
        <v>10200</v>
      </c>
      <c r="E36" s="105"/>
      <c r="F36" s="103">
        <f t="shared" si="0"/>
        <v>10200</v>
      </c>
      <c r="G36" s="103">
        <f t="shared" si="1"/>
        <v>0</v>
      </c>
      <c r="H36" s="175"/>
      <c r="I36" s="105"/>
    </row>
    <row r="37" spans="1:9" ht="38.25" x14ac:dyDescent="0.25">
      <c r="A37" s="109">
        <f t="shared" si="2"/>
        <v>29</v>
      </c>
      <c r="B37" s="93" t="s">
        <v>41</v>
      </c>
      <c r="C37" s="103">
        <f>'2020 смета ГЦ (2)'!F37</f>
        <v>100000</v>
      </c>
      <c r="D37" s="104">
        <f>D38</f>
        <v>94500</v>
      </c>
      <c r="E37" s="105"/>
      <c r="F37" s="103">
        <f t="shared" si="0"/>
        <v>94500</v>
      </c>
      <c r="G37" s="103">
        <f t="shared" si="1"/>
        <v>5500</v>
      </c>
      <c r="H37" s="105"/>
      <c r="I37" s="105"/>
    </row>
    <row r="38" spans="1:9" ht="76.5" x14ac:dyDescent="0.25">
      <c r="A38" s="109">
        <f t="shared" si="2"/>
        <v>30</v>
      </c>
      <c r="B38" s="94" t="s">
        <v>45</v>
      </c>
      <c r="C38" s="111">
        <f>'2020 смета ГЦ (2)'!F38</f>
        <v>100000</v>
      </c>
      <c r="D38" s="113">
        <v>94500</v>
      </c>
      <c r="E38" s="105"/>
      <c r="F38" s="111">
        <f t="shared" si="0"/>
        <v>94500</v>
      </c>
      <c r="G38" s="111">
        <f t="shared" si="1"/>
        <v>5500</v>
      </c>
      <c r="H38" s="111" t="s">
        <v>116</v>
      </c>
      <c r="I38" s="111" t="s">
        <v>117</v>
      </c>
    </row>
    <row r="39" spans="1:9" ht="38.25" x14ac:dyDescent="0.25">
      <c r="A39" s="109">
        <f t="shared" si="2"/>
        <v>31</v>
      </c>
      <c r="B39" s="93" t="s">
        <v>58</v>
      </c>
      <c r="C39" s="103">
        <f>'2020 смета ГЦ (2)'!F39</f>
        <v>440000</v>
      </c>
      <c r="D39" s="113">
        <f>D40+D42</f>
        <v>0</v>
      </c>
      <c r="E39" s="105"/>
      <c r="F39" s="103">
        <f t="shared" si="0"/>
        <v>0</v>
      </c>
      <c r="G39" s="103">
        <f t="shared" si="1"/>
        <v>440000</v>
      </c>
      <c r="H39" s="105"/>
      <c r="I39" s="111" t="s">
        <v>121</v>
      </c>
    </row>
    <row r="40" spans="1:9" ht="25.5" x14ac:dyDescent="0.25">
      <c r="A40" s="109">
        <f t="shared" si="2"/>
        <v>32</v>
      </c>
      <c r="B40" s="93" t="s">
        <v>40</v>
      </c>
      <c r="C40" s="103">
        <f>'2020 смета ГЦ (2)'!F40</f>
        <v>120000</v>
      </c>
      <c r="D40" s="113"/>
      <c r="E40" s="105"/>
      <c r="F40" s="103">
        <f t="shared" si="0"/>
        <v>0</v>
      </c>
      <c r="G40" s="103">
        <f t="shared" si="1"/>
        <v>120000</v>
      </c>
      <c r="H40" s="105"/>
      <c r="I40" s="105"/>
    </row>
    <row r="41" spans="1:9" ht="38.25" x14ac:dyDescent="0.25">
      <c r="A41" s="109">
        <f t="shared" si="2"/>
        <v>33</v>
      </c>
      <c r="B41" s="94" t="s">
        <v>90</v>
      </c>
      <c r="C41" s="111">
        <f>'2020 смета ГЦ (2)'!F41</f>
        <v>120000</v>
      </c>
      <c r="D41" s="113"/>
      <c r="E41" s="105"/>
      <c r="F41" s="111">
        <f t="shared" si="0"/>
        <v>0</v>
      </c>
      <c r="G41" s="111">
        <f t="shared" si="1"/>
        <v>120000</v>
      </c>
      <c r="H41" s="105"/>
      <c r="I41" s="111" t="s">
        <v>121</v>
      </c>
    </row>
    <row r="42" spans="1:9" ht="25.5" x14ac:dyDescent="0.25">
      <c r="A42" s="109">
        <f t="shared" si="2"/>
        <v>34</v>
      </c>
      <c r="B42" s="93" t="s">
        <v>91</v>
      </c>
      <c r="C42" s="103">
        <f>'2020 смета ГЦ (2)'!F42</f>
        <v>320000</v>
      </c>
      <c r="D42" s="113">
        <f>D43</f>
        <v>0</v>
      </c>
      <c r="E42" s="105"/>
      <c r="F42" s="103">
        <f t="shared" si="0"/>
        <v>0</v>
      </c>
      <c r="G42" s="103">
        <f t="shared" si="1"/>
        <v>320000</v>
      </c>
      <c r="H42" s="105"/>
      <c r="I42" s="105"/>
    </row>
    <row r="43" spans="1:9" ht="38.25" x14ac:dyDescent="0.25">
      <c r="A43" s="109">
        <f t="shared" si="2"/>
        <v>35</v>
      </c>
      <c r="B43" s="94" t="s">
        <v>66</v>
      </c>
      <c r="C43" s="111">
        <f>'2020 смета ГЦ (2)'!F43</f>
        <v>320000</v>
      </c>
      <c r="D43" s="113"/>
      <c r="E43" s="105"/>
      <c r="F43" s="111">
        <f t="shared" si="0"/>
        <v>0</v>
      </c>
      <c r="G43" s="111">
        <f t="shared" si="1"/>
        <v>320000</v>
      </c>
      <c r="H43" s="105"/>
      <c r="I43" s="111" t="s">
        <v>121</v>
      </c>
    </row>
    <row r="44" spans="1:9" x14ac:dyDescent="0.25">
      <c r="A44" s="109">
        <f t="shared" si="2"/>
        <v>36</v>
      </c>
      <c r="B44" s="99" t="s">
        <v>14</v>
      </c>
      <c r="C44" s="103">
        <f>'2020 смета ГЦ (2)'!F44</f>
        <v>3846800.25</v>
      </c>
      <c r="D44" s="113">
        <f>D9+D22+D26</f>
        <v>1609857.84</v>
      </c>
      <c r="E44" s="105"/>
      <c r="F44" s="103">
        <f t="shared" si="0"/>
        <v>1609857.84</v>
      </c>
      <c r="G44" s="103">
        <f t="shared" si="1"/>
        <v>2236942.41</v>
      </c>
      <c r="H44" s="105"/>
      <c r="I44" s="105"/>
    </row>
  </sheetData>
  <mergeCells count="8">
    <mergeCell ref="H34:H36"/>
    <mergeCell ref="H23:H25"/>
    <mergeCell ref="A6:A7"/>
    <mergeCell ref="B6:B7"/>
    <mergeCell ref="C6:C7"/>
    <mergeCell ref="D6:D7"/>
    <mergeCell ref="E6:E7"/>
    <mergeCell ref="H6:H7"/>
  </mergeCells>
  <pageMargins left="0.7" right="0.7" top="0.75" bottom="0.75" header="0.3" footer="0.3"/>
  <pageSetup paperSize="9"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K44"/>
  <sheetViews>
    <sheetView topLeftCell="A28" workbookViewId="0">
      <selection activeCell="G32" sqref="G32"/>
    </sheetView>
  </sheetViews>
  <sheetFormatPr defaultRowHeight="15" x14ac:dyDescent="0.25"/>
  <cols>
    <col min="1" max="1" width="5.85546875" customWidth="1"/>
    <col min="2" max="2" width="32.140625" customWidth="1"/>
    <col min="3" max="3" width="9.42578125" style="100" customWidth="1"/>
    <col min="4" max="4" width="10.85546875" style="101" customWidth="1"/>
    <col min="5" max="7" width="9.140625" style="102"/>
    <col min="8" max="8" width="24.5703125" style="102" customWidth="1"/>
    <col min="9" max="9" width="13.28515625" style="100" customWidth="1"/>
  </cols>
  <sheetData>
    <row r="6" spans="1:11" x14ac:dyDescent="0.25">
      <c r="A6" s="176" t="s">
        <v>0</v>
      </c>
      <c r="B6" s="176" t="s">
        <v>49</v>
      </c>
      <c r="C6" s="177" t="s">
        <v>97</v>
      </c>
      <c r="D6" s="177" t="s">
        <v>98</v>
      </c>
      <c r="E6" s="177" t="s">
        <v>99</v>
      </c>
      <c r="F6" s="115" t="s">
        <v>100</v>
      </c>
      <c r="G6" s="115" t="s">
        <v>102</v>
      </c>
      <c r="H6" s="177" t="s">
        <v>104</v>
      </c>
      <c r="I6" s="115" t="s">
        <v>105</v>
      </c>
    </row>
    <row r="7" spans="1:11" ht="25.5" x14ac:dyDescent="0.25">
      <c r="A7" s="176"/>
      <c r="B7" s="176"/>
      <c r="C7" s="177"/>
      <c r="D7" s="177"/>
      <c r="E7" s="177"/>
      <c r="F7" s="115" t="s">
        <v>101</v>
      </c>
      <c r="G7" s="115" t="s">
        <v>103</v>
      </c>
      <c r="H7" s="177"/>
      <c r="I7" s="115" t="s">
        <v>106</v>
      </c>
    </row>
    <row r="8" spans="1:11" x14ac:dyDescent="0.25">
      <c r="A8" s="107"/>
      <c r="B8" s="107">
        <v>1</v>
      </c>
      <c r="C8" s="108">
        <v>2</v>
      </c>
      <c r="D8" s="108">
        <v>3</v>
      </c>
      <c r="E8" s="108">
        <v>4</v>
      </c>
      <c r="F8" s="108">
        <v>5</v>
      </c>
      <c r="G8" s="108">
        <v>6</v>
      </c>
      <c r="H8" s="108">
        <v>7</v>
      </c>
      <c r="I8" s="108">
        <v>8</v>
      </c>
    </row>
    <row r="9" spans="1:11" x14ac:dyDescent="0.25">
      <c r="A9" s="109">
        <v>1</v>
      </c>
      <c r="B9" s="93" t="s">
        <v>8</v>
      </c>
      <c r="C9" s="103">
        <f>'2020 смета ГЦ (2)'!F9</f>
        <v>2727400.25</v>
      </c>
      <c r="D9" s="110">
        <f>D10+D16+D17+D18+D19</f>
        <v>1135957.8400000001</v>
      </c>
      <c r="E9" s="103">
        <f>E16+E18+E19</f>
        <v>22402</v>
      </c>
      <c r="F9" s="103">
        <f>D9+E9</f>
        <v>1158359.8400000001</v>
      </c>
      <c r="G9" s="103">
        <f>C9-F9</f>
        <v>1569040.41</v>
      </c>
      <c r="H9" s="103"/>
      <c r="I9" s="103"/>
    </row>
    <row r="10" spans="1:11" x14ac:dyDescent="0.25">
      <c r="A10" s="109">
        <f>A9+1</f>
        <v>2</v>
      </c>
      <c r="B10" s="93" t="s">
        <v>42</v>
      </c>
      <c r="C10" s="103">
        <f>'2020 смета ГЦ (2)'!F10</f>
        <v>2275000</v>
      </c>
      <c r="D10" s="110">
        <f>D11+D12+D13+D14+D15</f>
        <v>918190</v>
      </c>
      <c r="E10" s="103">
        <f>E11+E12+E14+E15</f>
        <v>171945</v>
      </c>
      <c r="F10" s="103">
        <f t="shared" ref="F10:F44" si="0">D10+E10</f>
        <v>1090135</v>
      </c>
      <c r="G10" s="103">
        <f t="shared" ref="G10:G44" si="1">C10-F10</f>
        <v>1184865</v>
      </c>
      <c r="H10" s="103"/>
      <c r="I10" s="103"/>
    </row>
    <row r="11" spans="1:11" ht="51" x14ac:dyDescent="0.25">
      <c r="A11" s="109">
        <f t="shared" ref="A11:A44" si="2">A10+1</f>
        <v>3</v>
      </c>
      <c r="B11" s="94" t="s">
        <v>92</v>
      </c>
      <c r="C11" s="111">
        <f>'2020 смета ГЦ (2)'!F11</f>
        <v>455000</v>
      </c>
      <c r="D11" s="112">
        <v>183638</v>
      </c>
      <c r="E11" s="111">
        <f>40085.5+12922</f>
        <v>53007.5</v>
      </c>
      <c r="F11" s="111">
        <f>D11+E11</f>
        <v>236645.5</v>
      </c>
      <c r="G11" s="111">
        <f t="shared" si="1"/>
        <v>218354.5</v>
      </c>
      <c r="H11" s="111" t="s">
        <v>122</v>
      </c>
      <c r="I11" s="111" t="s">
        <v>121</v>
      </c>
    </row>
    <row r="12" spans="1:11" ht="38.25" x14ac:dyDescent="0.25">
      <c r="A12" s="109">
        <f t="shared" si="2"/>
        <v>4</v>
      </c>
      <c r="B12" s="94" t="s">
        <v>94</v>
      </c>
      <c r="C12" s="111">
        <f>'2020 смета ГЦ (2)'!F12</f>
        <v>455000</v>
      </c>
      <c r="D12" s="112">
        <v>183638</v>
      </c>
      <c r="E12" s="111">
        <v>53008</v>
      </c>
      <c r="F12" s="111">
        <f t="shared" si="0"/>
        <v>236646</v>
      </c>
      <c r="G12" s="111">
        <f t="shared" si="1"/>
        <v>218354</v>
      </c>
      <c r="H12" s="111" t="s">
        <v>123</v>
      </c>
      <c r="I12" s="111" t="s">
        <v>121</v>
      </c>
    </row>
    <row r="13" spans="1:11" ht="38.25" x14ac:dyDescent="0.25">
      <c r="A13" s="109">
        <f t="shared" si="2"/>
        <v>5</v>
      </c>
      <c r="B13" s="94" t="s">
        <v>93</v>
      </c>
      <c r="C13" s="111">
        <f>'2020 смета ГЦ (2)'!F13</f>
        <v>455000</v>
      </c>
      <c r="D13" s="112">
        <v>183638</v>
      </c>
      <c r="E13" s="111"/>
      <c r="F13" s="111">
        <f t="shared" si="0"/>
        <v>183638</v>
      </c>
      <c r="G13" s="111">
        <f t="shared" si="1"/>
        <v>271362</v>
      </c>
      <c r="H13" s="111"/>
      <c r="I13" s="111" t="s">
        <v>121</v>
      </c>
      <c r="K13" s="100"/>
    </row>
    <row r="14" spans="1:11" ht="38.25" x14ac:dyDescent="0.25">
      <c r="A14" s="109">
        <f t="shared" si="2"/>
        <v>6</v>
      </c>
      <c r="B14" s="94" t="s">
        <v>95</v>
      </c>
      <c r="C14" s="111">
        <f>'2020 смета ГЦ (2)'!F14</f>
        <v>455000</v>
      </c>
      <c r="D14" s="112">
        <v>183638</v>
      </c>
      <c r="E14" s="105">
        <f>40085.5+12922</f>
        <v>53007.5</v>
      </c>
      <c r="F14" s="111">
        <f t="shared" si="0"/>
        <v>236645.5</v>
      </c>
      <c r="G14" s="111">
        <f t="shared" si="1"/>
        <v>218354.5</v>
      </c>
      <c r="H14" s="111" t="s">
        <v>124</v>
      </c>
      <c r="I14" s="111" t="s">
        <v>121</v>
      </c>
    </row>
    <row r="15" spans="1:11" ht="38.25" x14ac:dyDescent="0.25">
      <c r="A15" s="109">
        <f t="shared" si="2"/>
        <v>7</v>
      </c>
      <c r="B15" s="94" t="s">
        <v>96</v>
      </c>
      <c r="C15" s="111">
        <f>'2020 смета ГЦ (2)'!F15</f>
        <v>455000</v>
      </c>
      <c r="D15" s="112">
        <v>183638</v>
      </c>
      <c r="E15" s="105">
        <v>12922</v>
      </c>
      <c r="F15" s="111">
        <f t="shared" si="0"/>
        <v>196560</v>
      </c>
      <c r="G15" s="111">
        <f t="shared" si="1"/>
        <v>258440</v>
      </c>
      <c r="H15" s="111" t="s">
        <v>125</v>
      </c>
      <c r="I15" s="111" t="s">
        <v>121</v>
      </c>
    </row>
    <row r="16" spans="1:11" ht="38.25" x14ac:dyDescent="0.25">
      <c r="A16" s="109">
        <f t="shared" si="2"/>
        <v>8</v>
      </c>
      <c r="B16" s="95" t="s">
        <v>43</v>
      </c>
      <c r="C16" s="103">
        <f>'2020 смета ГЦ (2)'!F16</f>
        <v>192351.25</v>
      </c>
      <c r="D16" s="104">
        <f>28660+48280</f>
        <v>76940</v>
      </c>
      <c r="E16" s="105">
        <v>7165</v>
      </c>
      <c r="F16" s="103">
        <f t="shared" si="0"/>
        <v>84105</v>
      </c>
      <c r="G16" s="103">
        <f t="shared" si="1"/>
        <v>108246.25</v>
      </c>
      <c r="H16" s="111" t="s">
        <v>126</v>
      </c>
      <c r="I16" s="111" t="s">
        <v>121</v>
      </c>
    </row>
    <row r="17" spans="1:9" ht="38.25" x14ac:dyDescent="0.25">
      <c r="A17" s="109">
        <f t="shared" si="2"/>
        <v>9</v>
      </c>
      <c r="B17" s="93" t="s">
        <v>85</v>
      </c>
      <c r="C17" s="103">
        <f>'2020 смета ГЦ (2)'!F17</f>
        <v>45500</v>
      </c>
      <c r="D17" s="104">
        <v>19110</v>
      </c>
      <c r="E17" s="105"/>
      <c r="F17" s="103">
        <f t="shared" si="0"/>
        <v>19110</v>
      </c>
      <c r="G17" s="103">
        <f t="shared" si="1"/>
        <v>26390</v>
      </c>
      <c r="H17" s="111"/>
      <c r="I17" s="111" t="s">
        <v>121</v>
      </c>
    </row>
    <row r="18" spans="1:9" x14ac:dyDescent="0.25">
      <c r="A18" s="109">
        <f t="shared" si="2"/>
        <v>10</v>
      </c>
      <c r="B18" s="95" t="s">
        <v>44</v>
      </c>
      <c r="C18" s="103">
        <f>'2020 смета ГЦ (2)'!F18</f>
        <v>14549</v>
      </c>
      <c r="D18" s="104">
        <v>41717.839999999997</v>
      </c>
      <c r="E18" s="114">
        <v>5237</v>
      </c>
      <c r="F18" s="103">
        <f t="shared" si="0"/>
        <v>46954.84</v>
      </c>
      <c r="G18" s="103">
        <f t="shared" si="1"/>
        <v>-32405.839999999997</v>
      </c>
      <c r="H18" s="105" t="s">
        <v>114</v>
      </c>
      <c r="I18" s="111"/>
    </row>
    <row r="19" spans="1:9" ht="38.25" x14ac:dyDescent="0.25">
      <c r="A19" s="109">
        <f t="shared" si="2"/>
        <v>11</v>
      </c>
      <c r="B19" s="96" t="s">
        <v>86</v>
      </c>
      <c r="C19" s="103">
        <f>'2020 смета ГЦ (2)'!F19</f>
        <v>200000</v>
      </c>
      <c r="D19" s="104">
        <f>D20+D21</f>
        <v>80000</v>
      </c>
      <c r="E19" s="114">
        <v>10000</v>
      </c>
      <c r="F19" s="103">
        <f t="shared" si="0"/>
        <v>90000</v>
      </c>
      <c r="G19" s="103">
        <f t="shared" si="1"/>
        <v>110000</v>
      </c>
      <c r="H19" s="105"/>
      <c r="I19" s="111" t="s">
        <v>121</v>
      </c>
    </row>
    <row r="20" spans="1:9" ht="38.25" x14ac:dyDescent="0.25">
      <c r="A20" s="109">
        <f t="shared" si="2"/>
        <v>12</v>
      </c>
      <c r="B20" s="97" t="s">
        <v>88</v>
      </c>
      <c r="C20" s="103">
        <f>'2020 смета ГЦ (2)'!F20</f>
        <v>100000</v>
      </c>
      <c r="D20" s="113">
        <v>40000</v>
      </c>
      <c r="E20" s="114">
        <v>10000</v>
      </c>
      <c r="F20" s="103">
        <f t="shared" si="0"/>
        <v>50000</v>
      </c>
      <c r="G20" s="103">
        <f t="shared" si="1"/>
        <v>50000</v>
      </c>
      <c r="H20" s="111" t="s">
        <v>127</v>
      </c>
      <c r="I20" s="111" t="s">
        <v>121</v>
      </c>
    </row>
    <row r="21" spans="1:9" ht="38.25" x14ac:dyDescent="0.25">
      <c r="A21" s="109">
        <f t="shared" si="2"/>
        <v>13</v>
      </c>
      <c r="B21" s="94" t="s">
        <v>50</v>
      </c>
      <c r="C21" s="103">
        <f>'2020 смета ГЦ (2)'!F21</f>
        <v>100000</v>
      </c>
      <c r="D21" s="113">
        <v>40000</v>
      </c>
      <c r="E21" s="105"/>
      <c r="F21" s="103">
        <f t="shared" si="0"/>
        <v>40000</v>
      </c>
      <c r="G21" s="103">
        <f t="shared" si="1"/>
        <v>60000</v>
      </c>
      <c r="H21" s="111"/>
      <c r="I21" s="111" t="s">
        <v>121</v>
      </c>
    </row>
    <row r="22" spans="1:9" ht="25.5" x14ac:dyDescent="0.25">
      <c r="A22" s="109">
        <f t="shared" si="2"/>
        <v>14</v>
      </c>
      <c r="B22" s="93" t="s">
        <v>82</v>
      </c>
      <c r="C22" s="103">
        <f>'2020 смета ГЦ (2)'!F22</f>
        <v>350000</v>
      </c>
      <c r="D22" s="104">
        <f>D23+D24+D25</f>
        <v>350000</v>
      </c>
      <c r="E22" s="105"/>
      <c r="F22" s="103">
        <f t="shared" si="0"/>
        <v>350000</v>
      </c>
      <c r="G22" s="103">
        <f t="shared" si="1"/>
        <v>0</v>
      </c>
      <c r="H22" s="105"/>
      <c r="I22" s="105"/>
    </row>
    <row r="23" spans="1:9" ht="15" customHeight="1" x14ac:dyDescent="0.25">
      <c r="A23" s="109">
        <f t="shared" si="2"/>
        <v>15</v>
      </c>
      <c r="B23" s="98" t="s">
        <v>79</v>
      </c>
      <c r="C23" s="103">
        <f>'2020 смета ГЦ (2)'!F23</f>
        <v>180000</v>
      </c>
      <c r="D23" s="113">
        <v>180000</v>
      </c>
      <c r="E23" s="105"/>
      <c r="F23" s="103">
        <f t="shared" si="0"/>
        <v>180000</v>
      </c>
      <c r="G23" s="103">
        <f t="shared" si="1"/>
        <v>0</v>
      </c>
      <c r="H23" s="173"/>
      <c r="I23" s="105"/>
    </row>
    <row r="24" spans="1:9" ht="18" customHeight="1" x14ac:dyDescent="0.25">
      <c r="A24" s="109">
        <f t="shared" si="2"/>
        <v>16</v>
      </c>
      <c r="B24" s="98" t="s">
        <v>80</v>
      </c>
      <c r="C24" s="103">
        <f>'2020 смета ГЦ (2)'!F24</f>
        <v>20000</v>
      </c>
      <c r="D24" s="113">
        <v>20000</v>
      </c>
      <c r="E24" s="105"/>
      <c r="F24" s="103">
        <f t="shared" si="0"/>
        <v>20000</v>
      </c>
      <c r="G24" s="103">
        <f t="shared" si="1"/>
        <v>0</v>
      </c>
      <c r="H24" s="174"/>
      <c r="I24" s="105"/>
    </row>
    <row r="25" spans="1:9" ht="18.95" customHeight="1" x14ac:dyDescent="0.25">
      <c r="A25" s="109">
        <f t="shared" si="2"/>
        <v>17</v>
      </c>
      <c r="B25" s="98" t="s">
        <v>81</v>
      </c>
      <c r="C25" s="103">
        <f>'2020 смета ГЦ (2)'!F25</f>
        <v>150000</v>
      </c>
      <c r="D25" s="113">
        <v>150000</v>
      </c>
      <c r="E25" s="105"/>
      <c r="F25" s="103">
        <f t="shared" si="0"/>
        <v>150000</v>
      </c>
      <c r="G25" s="103">
        <f t="shared" si="1"/>
        <v>0</v>
      </c>
      <c r="H25" s="175"/>
      <c r="I25" s="105"/>
    </row>
    <row r="26" spans="1:9" x14ac:dyDescent="0.25">
      <c r="A26" s="109">
        <f t="shared" si="2"/>
        <v>18</v>
      </c>
      <c r="B26" s="93" t="s">
        <v>9</v>
      </c>
      <c r="C26" s="103">
        <f>'2020 смета ГЦ (2)'!F26</f>
        <v>769400</v>
      </c>
      <c r="D26" s="104">
        <f>D27+D32+D39</f>
        <v>123900</v>
      </c>
      <c r="E26" s="105"/>
      <c r="F26" s="103">
        <f t="shared" si="0"/>
        <v>123900</v>
      </c>
      <c r="G26" s="103">
        <f t="shared" si="1"/>
        <v>645500</v>
      </c>
      <c r="H26" s="105"/>
      <c r="I26" s="105"/>
    </row>
    <row r="27" spans="1:9" ht="25.5" x14ac:dyDescent="0.25">
      <c r="A27" s="109">
        <f t="shared" si="2"/>
        <v>19</v>
      </c>
      <c r="B27" s="93" t="s">
        <v>83</v>
      </c>
      <c r="C27" s="103">
        <f>'2020 смета ГЦ (2)'!F27</f>
        <v>200000</v>
      </c>
      <c r="D27" s="113">
        <f>D28</f>
        <v>0</v>
      </c>
      <c r="E27" s="105"/>
      <c r="F27" s="103">
        <f t="shared" si="0"/>
        <v>0</v>
      </c>
      <c r="G27" s="103">
        <f t="shared" si="1"/>
        <v>200000</v>
      </c>
      <c r="H27" s="105"/>
      <c r="I27" s="105"/>
    </row>
    <row r="28" spans="1:9" ht="38.25" x14ac:dyDescent="0.25">
      <c r="A28" s="109">
        <f t="shared" si="2"/>
        <v>20</v>
      </c>
      <c r="B28" s="93" t="s">
        <v>41</v>
      </c>
      <c r="C28" s="103">
        <f>'2020 смета ГЦ (2)'!F28</f>
        <v>200000</v>
      </c>
      <c r="D28" s="113">
        <f>D29+D30+D31</f>
        <v>0</v>
      </c>
      <c r="E28" s="114">
        <f>E29+E31</f>
        <v>120000</v>
      </c>
      <c r="F28" s="103">
        <f t="shared" si="0"/>
        <v>120000</v>
      </c>
      <c r="G28" s="103">
        <f t="shared" si="1"/>
        <v>80000</v>
      </c>
      <c r="H28" s="105"/>
      <c r="I28" s="111" t="s">
        <v>121</v>
      </c>
    </row>
    <row r="29" spans="1:9" ht="51" x14ac:dyDescent="0.25">
      <c r="A29" s="109">
        <f t="shared" si="2"/>
        <v>21</v>
      </c>
      <c r="B29" s="94" t="s">
        <v>60</v>
      </c>
      <c r="C29" s="103">
        <f>'2020 смета ГЦ (2)'!F29</f>
        <v>70000</v>
      </c>
      <c r="D29" s="113"/>
      <c r="E29" s="105">
        <v>70000</v>
      </c>
      <c r="F29" s="103">
        <f t="shared" si="0"/>
        <v>70000</v>
      </c>
      <c r="G29" s="103">
        <f t="shared" si="1"/>
        <v>0</v>
      </c>
      <c r="H29" s="111" t="s">
        <v>128</v>
      </c>
      <c r="I29" s="111" t="s">
        <v>121</v>
      </c>
    </row>
    <row r="30" spans="1:9" ht="38.25" x14ac:dyDescent="0.25">
      <c r="A30" s="109">
        <f t="shared" si="2"/>
        <v>22</v>
      </c>
      <c r="B30" s="94" t="s">
        <v>61</v>
      </c>
      <c r="C30" s="103">
        <f>'2020 смета ГЦ (2)'!F30</f>
        <v>30000</v>
      </c>
      <c r="D30" s="113"/>
      <c r="E30" s="105"/>
      <c r="F30" s="103">
        <f t="shared" si="0"/>
        <v>0</v>
      </c>
      <c r="G30" s="103">
        <f t="shared" si="1"/>
        <v>30000</v>
      </c>
      <c r="H30" s="105"/>
      <c r="I30" s="111" t="s">
        <v>121</v>
      </c>
    </row>
    <row r="31" spans="1:9" ht="38.25" x14ac:dyDescent="0.25">
      <c r="A31" s="109">
        <f t="shared" si="2"/>
        <v>23</v>
      </c>
      <c r="B31" s="94" t="s">
        <v>89</v>
      </c>
      <c r="C31" s="103">
        <f>'2020 смета ГЦ (2)'!F31</f>
        <v>100000</v>
      </c>
      <c r="D31" s="113"/>
      <c r="E31" s="105">
        <v>50000</v>
      </c>
      <c r="F31" s="103">
        <f t="shared" si="0"/>
        <v>50000</v>
      </c>
      <c r="G31" s="103">
        <f t="shared" si="1"/>
        <v>50000</v>
      </c>
      <c r="H31" s="105"/>
      <c r="I31" s="111" t="s">
        <v>121</v>
      </c>
    </row>
    <row r="32" spans="1:9" ht="25.5" x14ac:dyDescent="0.25">
      <c r="A32" s="109">
        <f t="shared" si="2"/>
        <v>24</v>
      </c>
      <c r="B32" s="93" t="s">
        <v>84</v>
      </c>
      <c r="C32" s="103">
        <f>'2020 смета ГЦ (2)'!F32</f>
        <v>129400</v>
      </c>
      <c r="D32" s="104">
        <f>D33+D37</f>
        <v>123900</v>
      </c>
      <c r="E32" s="105"/>
      <c r="F32" s="103">
        <f t="shared" si="0"/>
        <v>123900</v>
      </c>
      <c r="G32" s="103">
        <f t="shared" si="1"/>
        <v>5500</v>
      </c>
      <c r="H32" s="105"/>
      <c r="I32" s="105"/>
    </row>
    <row r="33" spans="1:9" ht="25.5" x14ac:dyDescent="0.25">
      <c r="A33" s="109">
        <f t="shared" si="2"/>
        <v>25</v>
      </c>
      <c r="B33" s="93" t="s">
        <v>40</v>
      </c>
      <c r="C33" s="103">
        <f>'2020 смета ГЦ (2)'!F33</f>
        <v>29400</v>
      </c>
      <c r="D33" s="110">
        <f>'2020 смета ГЦ (2)'!G33</f>
        <v>29400</v>
      </c>
      <c r="E33" s="105"/>
      <c r="F33" s="103">
        <f t="shared" si="0"/>
        <v>29400</v>
      </c>
      <c r="G33" s="103">
        <f t="shared" si="1"/>
        <v>0</v>
      </c>
      <c r="H33" s="105"/>
      <c r="I33" s="105"/>
    </row>
    <row r="34" spans="1:9" ht="21.6" customHeight="1" x14ac:dyDescent="0.25">
      <c r="A34" s="109">
        <f t="shared" si="2"/>
        <v>26</v>
      </c>
      <c r="B34" s="98" t="s">
        <v>37</v>
      </c>
      <c r="C34" s="103">
        <f>'2020 смета ГЦ (2)'!F34</f>
        <v>16800</v>
      </c>
      <c r="D34" s="112">
        <f>'2020 смета ГЦ (2)'!G34</f>
        <v>16800</v>
      </c>
      <c r="E34" s="105"/>
      <c r="F34" s="103">
        <f t="shared" si="0"/>
        <v>16800</v>
      </c>
      <c r="G34" s="103">
        <f t="shared" si="1"/>
        <v>0</v>
      </c>
      <c r="H34" s="173"/>
      <c r="I34" s="105"/>
    </row>
    <row r="35" spans="1:9" ht="21.6" customHeight="1" x14ac:dyDescent="0.25">
      <c r="A35" s="109">
        <f t="shared" si="2"/>
        <v>27</v>
      </c>
      <c r="B35" s="98" t="s">
        <v>38</v>
      </c>
      <c r="C35" s="103">
        <f>'2020 смета ГЦ (2)'!F35</f>
        <v>2400</v>
      </c>
      <c r="D35" s="112">
        <f>'2020 смета ГЦ (2)'!G35</f>
        <v>2400</v>
      </c>
      <c r="E35" s="105"/>
      <c r="F35" s="103">
        <f t="shared" si="0"/>
        <v>2400</v>
      </c>
      <c r="G35" s="103">
        <f t="shared" si="1"/>
        <v>0</v>
      </c>
      <c r="H35" s="174"/>
      <c r="I35" s="105"/>
    </row>
    <row r="36" spans="1:9" ht="21.6" customHeight="1" x14ac:dyDescent="0.25">
      <c r="A36" s="109">
        <f t="shared" si="2"/>
        <v>28</v>
      </c>
      <c r="B36" s="98" t="s">
        <v>39</v>
      </c>
      <c r="C36" s="103">
        <f>'2020 смета ГЦ (2)'!F36</f>
        <v>10200</v>
      </c>
      <c r="D36" s="112">
        <f>'2020 смета ГЦ (2)'!G36</f>
        <v>10200</v>
      </c>
      <c r="E36" s="105"/>
      <c r="F36" s="103">
        <f t="shared" si="0"/>
        <v>10200</v>
      </c>
      <c r="G36" s="103">
        <f t="shared" si="1"/>
        <v>0</v>
      </c>
      <c r="H36" s="175"/>
      <c r="I36" s="105"/>
    </row>
    <row r="37" spans="1:9" ht="38.25" x14ac:dyDescent="0.25">
      <c r="A37" s="109">
        <f t="shared" si="2"/>
        <v>29</v>
      </c>
      <c r="B37" s="93" t="s">
        <v>41</v>
      </c>
      <c r="C37" s="103">
        <f>'2020 смета ГЦ (2)'!F37</f>
        <v>100000</v>
      </c>
      <c r="D37" s="104">
        <f>D38</f>
        <v>94500</v>
      </c>
      <c r="E37" s="105"/>
      <c r="F37" s="103">
        <f t="shared" si="0"/>
        <v>94500</v>
      </c>
      <c r="G37" s="103">
        <f t="shared" si="1"/>
        <v>5500</v>
      </c>
      <c r="H37" s="105"/>
      <c r="I37" s="105"/>
    </row>
    <row r="38" spans="1:9" ht="51" x14ac:dyDescent="0.25">
      <c r="A38" s="109">
        <f t="shared" si="2"/>
        <v>30</v>
      </c>
      <c r="B38" s="94" t="s">
        <v>45</v>
      </c>
      <c r="C38" s="111">
        <f>'2020 смета ГЦ (2)'!F38</f>
        <v>100000</v>
      </c>
      <c r="D38" s="113">
        <v>94500</v>
      </c>
      <c r="E38" s="105"/>
      <c r="F38" s="111">
        <f t="shared" si="0"/>
        <v>94500</v>
      </c>
      <c r="G38" s="111">
        <f t="shared" si="1"/>
        <v>5500</v>
      </c>
      <c r="H38" s="111"/>
      <c r="I38" s="111" t="s">
        <v>117</v>
      </c>
    </row>
    <row r="39" spans="1:9" ht="38.25" x14ac:dyDescent="0.25">
      <c r="A39" s="109">
        <f t="shared" si="2"/>
        <v>31</v>
      </c>
      <c r="B39" s="93" t="s">
        <v>58</v>
      </c>
      <c r="C39" s="103">
        <f>'2020 смета ГЦ (2)'!F39</f>
        <v>440000</v>
      </c>
      <c r="D39" s="113">
        <f>D40+D42</f>
        <v>0</v>
      </c>
      <c r="E39" s="105"/>
      <c r="F39" s="103">
        <f t="shared" si="0"/>
        <v>0</v>
      </c>
      <c r="G39" s="103">
        <f t="shared" si="1"/>
        <v>440000</v>
      </c>
      <c r="H39" s="105"/>
      <c r="I39" s="111" t="s">
        <v>121</v>
      </c>
    </row>
    <row r="40" spans="1:9" ht="25.5" x14ac:dyDescent="0.25">
      <c r="A40" s="109">
        <f t="shared" si="2"/>
        <v>32</v>
      </c>
      <c r="B40" s="93" t="s">
        <v>40</v>
      </c>
      <c r="C40" s="103">
        <f>'2020 смета ГЦ (2)'!F40</f>
        <v>120000</v>
      </c>
      <c r="D40" s="113"/>
      <c r="E40" s="105"/>
      <c r="F40" s="103">
        <f t="shared" si="0"/>
        <v>0</v>
      </c>
      <c r="G40" s="103">
        <f t="shared" si="1"/>
        <v>120000</v>
      </c>
      <c r="H40" s="105"/>
      <c r="I40" s="105"/>
    </row>
    <row r="41" spans="1:9" ht="38.25" x14ac:dyDescent="0.25">
      <c r="A41" s="109">
        <f t="shared" si="2"/>
        <v>33</v>
      </c>
      <c r="B41" s="94" t="s">
        <v>90</v>
      </c>
      <c r="C41" s="111">
        <f>'2020 смета ГЦ (2)'!F41</f>
        <v>120000</v>
      </c>
      <c r="D41" s="113"/>
      <c r="E41" s="105"/>
      <c r="F41" s="111">
        <f t="shared" si="0"/>
        <v>0</v>
      </c>
      <c r="G41" s="111">
        <f t="shared" si="1"/>
        <v>120000</v>
      </c>
      <c r="H41" s="105"/>
      <c r="I41" s="111" t="s">
        <v>121</v>
      </c>
    </row>
    <row r="42" spans="1:9" ht="25.5" x14ac:dyDescent="0.25">
      <c r="A42" s="109">
        <f t="shared" si="2"/>
        <v>34</v>
      </c>
      <c r="B42" s="93" t="s">
        <v>91</v>
      </c>
      <c r="C42" s="103">
        <f>'2020 смета ГЦ (2)'!F42</f>
        <v>320000</v>
      </c>
      <c r="D42" s="113">
        <f>D43</f>
        <v>0</v>
      </c>
      <c r="E42" s="105"/>
      <c r="F42" s="103">
        <f t="shared" si="0"/>
        <v>0</v>
      </c>
      <c r="G42" s="103">
        <f t="shared" si="1"/>
        <v>320000</v>
      </c>
      <c r="H42" s="105"/>
      <c r="I42" s="105"/>
    </row>
    <row r="43" spans="1:9" ht="38.25" x14ac:dyDescent="0.25">
      <c r="A43" s="109">
        <f t="shared" si="2"/>
        <v>35</v>
      </c>
      <c r="B43" s="94" t="s">
        <v>66</v>
      </c>
      <c r="C43" s="111">
        <f>'2020 смета ГЦ (2)'!F43</f>
        <v>320000</v>
      </c>
      <c r="D43" s="113"/>
      <c r="E43" s="105"/>
      <c r="F43" s="111">
        <f t="shared" si="0"/>
        <v>0</v>
      </c>
      <c r="G43" s="111">
        <f t="shared" si="1"/>
        <v>320000</v>
      </c>
      <c r="H43" s="105"/>
      <c r="I43" s="111" t="s">
        <v>121</v>
      </c>
    </row>
    <row r="44" spans="1:9" x14ac:dyDescent="0.25">
      <c r="A44" s="109">
        <f t="shared" si="2"/>
        <v>36</v>
      </c>
      <c r="B44" s="99" t="s">
        <v>14</v>
      </c>
      <c r="C44" s="103">
        <f>'2020 смета ГЦ (2)'!F44</f>
        <v>3846800.25</v>
      </c>
      <c r="D44" s="113">
        <f>D9+D22+D26</f>
        <v>1609857.84</v>
      </c>
      <c r="E44" s="114">
        <f>E9+E10+E28</f>
        <v>314347</v>
      </c>
      <c r="F44" s="103">
        <f t="shared" si="0"/>
        <v>1924204.84</v>
      </c>
      <c r="G44" s="103">
        <f t="shared" si="1"/>
        <v>1922595.41</v>
      </c>
      <c r="H44" s="105"/>
      <c r="I44" s="105"/>
    </row>
  </sheetData>
  <mergeCells count="8">
    <mergeCell ref="H23:H25"/>
    <mergeCell ref="H34:H36"/>
    <mergeCell ref="A6:A7"/>
    <mergeCell ref="B6:B7"/>
    <mergeCell ref="C6:C7"/>
    <mergeCell ref="D6:D7"/>
    <mergeCell ref="E6:E7"/>
    <mergeCell ref="H6:H7"/>
  </mergeCells>
  <pageMargins left="0.7" right="0.7" top="0.75" bottom="0.75" header="0.3" footer="0.3"/>
  <pageSetup paperSize="9"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K44"/>
  <sheetViews>
    <sheetView topLeftCell="A36" workbookViewId="0">
      <selection activeCell="H17" sqref="H17"/>
    </sheetView>
  </sheetViews>
  <sheetFormatPr defaultRowHeight="15" x14ac:dyDescent="0.25"/>
  <cols>
    <col min="1" max="1" width="5.85546875" customWidth="1"/>
    <col min="2" max="2" width="32.140625" customWidth="1"/>
    <col min="3" max="3" width="9.42578125" style="100" customWidth="1"/>
    <col min="4" max="4" width="10.85546875" style="101" customWidth="1"/>
    <col min="5" max="5" width="9.140625" style="102"/>
    <col min="6" max="6" width="10.85546875" style="102" bestFit="1" customWidth="1"/>
    <col min="7" max="7" width="9.140625" style="102"/>
    <col min="8" max="8" width="24.5703125" style="102" customWidth="1"/>
    <col min="9" max="9" width="13.28515625" style="100" customWidth="1"/>
  </cols>
  <sheetData>
    <row r="6" spans="1:11" ht="15" customHeight="1" x14ac:dyDescent="0.25">
      <c r="A6" s="176" t="s">
        <v>0</v>
      </c>
      <c r="B6" s="176" t="s">
        <v>49</v>
      </c>
      <c r="C6" s="177" t="s">
        <v>97</v>
      </c>
      <c r="D6" s="177" t="s">
        <v>98</v>
      </c>
      <c r="E6" s="177" t="s">
        <v>99</v>
      </c>
      <c r="F6" s="177" t="s">
        <v>129</v>
      </c>
      <c r="G6" s="116" t="s">
        <v>102</v>
      </c>
      <c r="H6" s="177" t="s">
        <v>104</v>
      </c>
      <c r="I6" s="116" t="s">
        <v>105</v>
      </c>
    </row>
    <row r="7" spans="1:11" ht="25.5" x14ac:dyDescent="0.25">
      <c r="A7" s="176"/>
      <c r="B7" s="176"/>
      <c r="C7" s="177"/>
      <c r="D7" s="177"/>
      <c r="E7" s="177"/>
      <c r="F7" s="177"/>
      <c r="G7" s="116" t="s">
        <v>103</v>
      </c>
      <c r="H7" s="177"/>
      <c r="I7" s="116" t="s">
        <v>106</v>
      </c>
    </row>
    <row r="8" spans="1:11" x14ac:dyDescent="0.25">
      <c r="A8" s="107"/>
      <c r="B8" s="107">
        <v>1</v>
      </c>
      <c r="C8" s="108">
        <v>2</v>
      </c>
      <c r="D8" s="108">
        <v>3</v>
      </c>
      <c r="E8" s="108">
        <v>4</v>
      </c>
      <c r="F8" s="108">
        <v>5</v>
      </c>
      <c r="G8" s="108">
        <v>6</v>
      </c>
      <c r="H8" s="108">
        <v>7</v>
      </c>
      <c r="I8" s="108">
        <v>8</v>
      </c>
    </row>
    <row r="9" spans="1:11" x14ac:dyDescent="0.25">
      <c r="A9" s="109">
        <v>1</v>
      </c>
      <c r="B9" s="93" t="s">
        <v>8</v>
      </c>
      <c r="C9" s="103">
        <f>'2020 смета ГЦ (2)'!F9</f>
        <v>2727400.25</v>
      </c>
      <c r="D9" s="110">
        <f>D10+D16+D17+D18+D19</f>
        <v>1135957.8400000001</v>
      </c>
      <c r="E9" s="103">
        <f>E16+E18+E19</f>
        <v>22402</v>
      </c>
      <c r="F9" s="103">
        <f>F16+F17</f>
        <v>74840</v>
      </c>
      <c r="G9" s="103">
        <f t="shared" ref="G9:G44" si="0">C9-F9</f>
        <v>2652560.25</v>
      </c>
      <c r="H9" s="103"/>
      <c r="I9" s="103"/>
    </row>
    <row r="10" spans="1:11" x14ac:dyDescent="0.25">
      <c r="A10" s="109">
        <f>A9+1</f>
        <v>2</v>
      </c>
      <c r="B10" s="93" t="s">
        <v>42</v>
      </c>
      <c r="C10" s="103">
        <f>'2020 смета ГЦ (2)'!F10</f>
        <v>2275000</v>
      </c>
      <c r="D10" s="110">
        <f>D11+D12+D13+D14+D15</f>
        <v>918190</v>
      </c>
      <c r="E10" s="103">
        <f>SUM(E11:E15)</f>
        <v>171945</v>
      </c>
      <c r="F10" s="103">
        <f>F11+F12+F13+F14+F15</f>
        <v>785378</v>
      </c>
      <c r="G10" s="103">
        <f t="shared" si="0"/>
        <v>1489622</v>
      </c>
      <c r="H10" s="103"/>
      <c r="I10" s="103"/>
    </row>
    <row r="11" spans="1:11" ht="63.75" x14ac:dyDescent="0.25">
      <c r="A11" s="109">
        <f t="shared" ref="A11:A44" si="1">A10+1</f>
        <v>3</v>
      </c>
      <c r="B11" s="94" t="s">
        <v>92</v>
      </c>
      <c r="C11" s="111">
        <f>'2020 смета ГЦ (2)'!F11</f>
        <v>455000</v>
      </c>
      <c r="D11" s="112">
        <v>183638</v>
      </c>
      <c r="E11" s="111">
        <f>40085.5+12922</f>
        <v>53007.5</v>
      </c>
      <c r="F11" s="111">
        <f>40085.5+4550+4550+40085.5+4550+40086+4550</f>
        <v>138457</v>
      </c>
      <c r="G11" s="111">
        <f t="shared" si="0"/>
        <v>316543</v>
      </c>
      <c r="H11" s="112" t="s">
        <v>134</v>
      </c>
      <c r="I11" s="111" t="s">
        <v>121</v>
      </c>
    </row>
    <row r="12" spans="1:11" ht="38.25" x14ac:dyDescent="0.25">
      <c r="A12" s="109">
        <f t="shared" si="1"/>
        <v>4</v>
      </c>
      <c r="B12" s="94" t="s">
        <v>94</v>
      </c>
      <c r="C12" s="111">
        <f>'2020 смета ГЦ (2)'!F12</f>
        <v>455000</v>
      </c>
      <c r="D12" s="112">
        <v>183638</v>
      </c>
      <c r="E12" s="111">
        <v>53008</v>
      </c>
      <c r="F12" s="111">
        <f>40085.5+4550+4550+40085.5+4550+40086+4550</f>
        <v>138457</v>
      </c>
      <c r="G12" s="111">
        <f t="shared" si="0"/>
        <v>316543</v>
      </c>
      <c r="H12" s="112" t="s">
        <v>137</v>
      </c>
      <c r="I12" s="111" t="s">
        <v>121</v>
      </c>
    </row>
    <row r="13" spans="1:11" ht="38.25" x14ac:dyDescent="0.25">
      <c r="A13" s="109">
        <f t="shared" si="1"/>
        <v>5</v>
      </c>
      <c r="B13" s="94" t="s">
        <v>93</v>
      </c>
      <c r="C13" s="111">
        <f>'2020 смета ГЦ (2)'!F13</f>
        <v>455000</v>
      </c>
      <c r="D13" s="112">
        <v>183638</v>
      </c>
      <c r="E13" s="111"/>
      <c r="F13" s="111">
        <f>53007.5+40085.5+4550+4550+40085.5+4550+40086+4550</f>
        <v>191464.5</v>
      </c>
      <c r="G13" s="111">
        <f t="shared" si="0"/>
        <v>263535.5</v>
      </c>
      <c r="H13" s="112" t="s">
        <v>136</v>
      </c>
      <c r="I13" s="111" t="s">
        <v>121</v>
      </c>
      <c r="K13" s="100"/>
    </row>
    <row r="14" spans="1:11" ht="51" x14ac:dyDescent="0.25">
      <c r="A14" s="109">
        <f t="shared" si="1"/>
        <v>6</v>
      </c>
      <c r="B14" s="94" t="s">
        <v>95</v>
      </c>
      <c r="C14" s="111">
        <f>'2020 смета ГЦ (2)'!F14</f>
        <v>455000</v>
      </c>
      <c r="D14" s="112">
        <v>183638</v>
      </c>
      <c r="E14" s="105">
        <f>40085.5+12922</f>
        <v>53007.5</v>
      </c>
      <c r="F14" s="105">
        <f>40085.5+4550+4550+40085.5+4550+40086+4550</f>
        <v>138457</v>
      </c>
      <c r="G14" s="111">
        <f t="shared" si="0"/>
        <v>316543</v>
      </c>
      <c r="H14" s="112" t="s">
        <v>138</v>
      </c>
      <c r="I14" s="111" t="s">
        <v>121</v>
      </c>
    </row>
    <row r="15" spans="1:11" ht="38.25" x14ac:dyDescent="0.25">
      <c r="A15" s="109">
        <f t="shared" si="1"/>
        <v>7</v>
      </c>
      <c r="B15" s="94" t="s">
        <v>96</v>
      </c>
      <c r="C15" s="111">
        <f>'2020 смета ГЦ (2)'!F15</f>
        <v>455000</v>
      </c>
      <c r="D15" s="112">
        <v>183638</v>
      </c>
      <c r="E15" s="105">
        <v>12922</v>
      </c>
      <c r="F15" s="105">
        <f>40085.5+40085.5+4550+4550+40085.5+4550+40086+4550</f>
        <v>178542.5</v>
      </c>
      <c r="G15" s="111">
        <f t="shared" si="0"/>
        <v>276457.5</v>
      </c>
      <c r="H15" s="112" t="s">
        <v>135</v>
      </c>
      <c r="I15" s="111" t="s">
        <v>121</v>
      </c>
    </row>
    <row r="16" spans="1:11" ht="38.25" x14ac:dyDescent="0.25">
      <c r="A16" s="109">
        <f t="shared" si="1"/>
        <v>8</v>
      </c>
      <c r="B16" s="95" t="s">
        <v>43</v>
      </c>
      <c r="C16" s="103">
        <f>'2020 смета ГЦ (2)'!F16</f>
        <v>192351.25</v>
      </c>
      <c r="D16" s="104">
        <f>28660+48280</f>
        <v>76940</v>
      </c>
      <c r="E16" s="105">
        <v>7165</v>
      </c>
      <c r="F16" s="105">
        <f>7165+12750+12750+7440+7435</f>
        <v>47540</v>
      </c>
      <c r="G16" s="103">
        <f t="shared" si="0"/>
        <v>144811.25</v>
      </c>
      <c r="H16" s="111"/>
      <c r="I16" s="111" t="s">
        <v>121</v>
      </c>
    </row>
    <row r="17" spans="1:9" ht="38.25" x14ac:dyDescent="0.25">
      <c r="A17" s="109">
        <f t="shared" si="1"/>
        <v>9</v>
      </c>
      <c r="B17" s="93" t="s">
        <v>85</v>
      </c>
      <c r="C17" s="103">
        <f>'2020 смета ГЦ (2)'!F17</f>
        <v>45500</v>
      </c>
      <c r="D17" s="104">
        <v>19110</v>
      </c>
      <c r="E17" s="105"/>
      <c r="F17" s="105">
        <f>4550+4550+2275+2275+4550+2275+4550+2275</f>
        <v>27300</v>
      </c>
      <c r="G17" s="103">
        <f t="shared" si="0"/>
        <v>18200</v>
      </c>
      <c r="H17" s="111"/>
      <c r="I17" s="111" t="s">
        <v>121</v>
      </c>
    </row>
    <row r="18" spans="1:9" x14ac:dyDescent="0.25">
      <c r="A18" s="109">
        <f t="shared" si="1"/>
        <v>10</v>
      </c>
      <c r="B18" s="95" t="s">
        <v>44</v>
      </c>
      <c r="C18" s="103">
        <f>'2020 смета ГЦ (2)'!F18</f>
        <v>14549</v>
      </c>
      <c r="D18" s="104">
        <v>41717.839999999997</v>
      </c>
      <c r="E18" s="114">
        <v>5237</v>
      </c>
      <c r="F18" s="114">
        <f>2200+2200+2200+2200+520+520+520+520+520+520+520+520+1774.05+275+990+280.6+280.6+280.6+280.6+2200+520+520+520+520+275+275+990+520+520+520+520+520+520+520+520+280.6+280.6+280.6+280.6</f>
        <v>28223.849999999991</v>
      </c>
      <c r="G18" s="103">
        <f t="shared" si="0"/>
        <v>-13674.849999999991</v>
      </c>
      <c r="H18" s="105" t="s">
        <v>114</v>
      </c>
      <c r="I18" s="111"/>
    </row>
    <row r="19" spans="1:9" ht="38.25" x14ac:dyDescent="0.25">
      <c r="A19" s="109">
        <f t="shared" si="1"/>
        <v>11</v>
      </c>
      <c r="B19" s="96" t="s">
        <v>86</v>
      </c>
      <c r="C19" s="103">
        <f>'2020 смета ГЦ (2)'!F19</f>
        <v>200000</v>
      </c>
      <c r="D19" s="104">
        <f>D20+D21</f>
        <v>80000</v>
      </c>
      <c r="E19" s="114">
        <v>10000</v>
      </c>
      <c r="F19" s="114">
        <f>F20+F21</f>
        <v>70000</v>
      </c>
      <c r="G19" s="103">
        <f t="shared" si="0"/>
        <v>130000</v>
      </c>
      <c r="H19" s="105"/>
      <c r="I19" s="111" t="s">
        <v>121</v>
      </c>
    </row>
    <row r="20" spans="1:9" ht="51" x14ac:dyDescent="0.25">
      <c r="A20" s="109">
        <f t="shared" si="1"/>
        <v>12</v>
      </c>
      <c r="B20" s="97" t="s">
        <v>88</v>
      </c>
      <c r="C20" s="103">
        <f>'2020 смета ГЦ (2)'!F20</f>
        <v>100000</v>
      </c>
      <c r="D20" s="113">
        <v>40000</v>
      </c>
      <c r="E20" s="105">
        <v>10000</v>
      </c>
      <c r="F20" s="105">
        <v>20000</v>
      </c>
      <c r="G20" s="103">
        <f t="shared" si="0"/>
        <v>80000</v>
      </c>
      <c r="H20" s="111" t="s">
        <v>139</v>
      </c>
      <c r="I20" s="111" t="s">
        <v>121</v>
      </c>
    </row>
    <row r="21" spans="1:9" ht="38.25" x14ac:dyDescent="0.25">
      <c r="A21" s="109">
        <f t="shared" si="1"/>
        <v>13</v>
      </c>
      <c r="B21" s="94" t="s">
        <v>50</v>
      </c>
      <c r="C21" s="103">
        <f>'2020 смета ГЦ (2)'!F21</f>
        <v>100000</v>
      </c>
      <c r="D21" s="113">
        <v>40000</v>
      </c>
      <c r="E21" s="105"/>
      <c r="F21" s="105">
        <f>20000+10000+10000+10000</f>
        <v>50000</v>
      </c>
      <c r="G21" s="103">
        <f t="shared" si="0"/>
        <v>50000</v>
      </c>
      <c r="H21" s="111" t="s">
        <v>132</v>
      </c>
      <c r="I21" s="111" t="s">
        <v>121</v>
      </c>
    </row>
    <row r="22" spans="1:9" ht="25.5" x14ac:dyDescent="0.25">
      <c r="A22" s="109">
        <f t="shared" si="1"/>
        <v>14</v>
      </c>
      <c r="B22" s="93" t="s">
        <v>82</v>
      </c>
      <c r="C22" s="103">
        <f>'2020 смета ГЦ (2)'!F22</f>
        <v>350000</v>
      </c>
      <c r="D22" s="104">
        <f>D23+D24+D25</f>
        <v>350000</v>
      </c>
      <c r="E22" s="105"/>
      <c r="F22" s="105"/>
      <c r="G22" s="103">
        <f t="shared" si="0"/>
        <v>350000</v>
      </c>
      <c r="H22" s="105"/>
      <c r="I22" s="105"/>
    </row>
    <row r="23" spans="1:9" ht="15" customHeight="1" x14ac:dyDescent="0.25">
      <c r="A23" s="109">
        <f t="shared" si="1"/>
        <v>15</v>
      </c>
      <c r="B23" s="98" t="s">
        <v>79</v>
      </c>
      <c r="C23" s="103">
        <f>'2020 смета ГЦ (2)'!F23</f>
        <v>180000</v>
      </c>
      <c r="D23" s="113">
        <v>180000</v>
      </c>
      <c r="E23" s="105"/>
      <c r="F23" s="105"/>
      <c r="G23" s="103">
        <f t="shared" si="0"/>
        <v>180000</v>
      </c>
      <c r="H23" s="173"/>
      <c r="I23" s="105"/>
    </row>
    <row r="24" spans="1:9" ht="18" customHeight="1" x14ac:dyDescent="0.25">
      <c r="A24" s="109">
        <f t="shared" si="1"/>
        <v>16</v>
      </c>
      <c r="B24" s="98" t="s">
        <v>80</v>
      </c>
      <c r="C24" s="103">
        <f>'2020 смета ГЦ (2)'!F24</f>
        <v>20000</v>
      </c>
      <c r="D24" s="113">
        <v>20000</v>
      </c>
      <c r="E24" s="105"/>
      <c r="F24" s="105"/>
      <c r="G24" s="103">
        <f t="shared" si="0"/>
        <v>20000</v>
      </c>
      <c r="H24" s="174"/>
      <c r="I24" s="105"/>
    </row>
    <row r="25" spans="1:9" ht="18.95" customHeight="1" x14ac:dyDescent="0.25">
      <c r="A25" s="109">
        <f t="shared" si="1"/>
        <v>17</v>
      </c>
      <c r="B25" s="98" t="s">
        <v>81</v>
      </c>
      <c r="C25" s="103">
        <f>'2020 смета ГЦ (2)'!F25</f>
        <v>150000</v>
      </c>
      <c r="D25" s="113">
        <v>150000</v>
      </c>
      <c r="E25" s="105"/>
      <c r="F25" s="105"/>
      <c r="G25" s="103">
        <f t="shared" si="0"/>
        <v>150000</v>
      </c>
      <c r="H25" s="175"/>
      <c r="I25" s="105"/>
    </row>
    <row r="26" spans="1:9" x14ac:dyDescent="0.25">
      <c r="A26" s="109">
        <f t="shared" si="1"/>
        <v>18</v>
      </c>
      <c r="B26" s="93" t="s">
        <v>9</v>
      </c>
      <c r="C26" s="103">
        <f>'2020 смета ГЦ (2)'!F26</f>
        <v>769400</v>
      </c>
      <c r="D26" s="104">
        <f>D27+D32+D39</f>
        <v>123900</v>
      </c>
      <c r="E26" s="105"/>
      <c r="F26" s="105"/>
      <c r="G26" s="103">
        <f t="shared" si="0"/>
        <v>769400</v>
      </c>
      <c r="H26" s="105"/>
      <c r="I26" s="105"/>
    </row>
    <row r="27" spans="1:9" ht="25.5" x14ac:dyDescent="0.25">
      <c r="A27" s="109">
        <f t="shared" si="1"/>
        <v>19</v>
      </c>
      <c r="B27" s="93" t="s">
        <v>83</v>
      </c>
      <c r="C27" s="103">
        <f>'2020 смета ГЦ (2)'!F27</f>
        <v>200000</v>
      </c>
      <c r="D27" s="113">
        <f>D28</f>
        <v>0</v>
      </c>
      <c r="E27" s="105"/>
      <c r="F27" s="105"/>
      <c r="G27" s="103">
        <f t="shared" si="0"/>
        <v>200000</v>
      </c>
      <c r="H27" s="105"/>
      <c r="I27" s="105"/>
    </row>
    <row r="28" spans="1:9" ht="38.25" x14ac:dyDescent="0.25">
      <c r="A28" s="109">
        <f t="shared" si="1"/>
        <v>20</v>
      </c>
      <c r="B28" s="93" t="s">
        <v>41</v>
      </c>
      <c r="C28" s="103">
        <f>'2020 смета ГЦ (2)'!F28</f>
        <v>200000</v>
      </c>
      <c r="D28" s="113">
        <f>D29+D30+D31</f>
        <v>0</v>
      </c>
      <c r="E28" s="114">
        <f>E29+E31</f>
        <v>120000</v>
      </c>
      <c r="F28" s="114"/>
      <c r="G28" s="103">
        <f t="shared" si="0"/>
        <v>200000</v>
      </c>
      <c r="H28" s="105"/>
      <c r="I28" s="111" t="s">
        <v>121</v>
      </c>
    </row>
    <row r="29" spans="1:9" ht="51" x14ac:dyDescent="0.25">
      <c r="A29" s="109">
        <f t="shared" si="1"/>
        <v>21</v>
      </c>
      <c r="B29" s="94" t="s">
        <v>60</v>
      </c>
      <c r="C29" s="103">
        <f>'2020 смета ГЦ (2)'!F29</f>
        <v>70000</v>
      </c>
      <c r="D29" s="113"/>
      <c r="E29" s="105">
        <v>70000</v>
      </c>
      <c r="F29" s="105"/>
      <c r="G29" s="103">
        <f t="shared" si="0"/>
        <v>70000</v>
      </c>
      <c r="H29" s="111" t="s">
        <v>128</v>
      </c>
      <c r="I29" s="111"/>
    </row>
    <row r="30" spans="1:9" ht="25.5" x14ac:dyDescent="0.25">
      <c r="A30" s="109">
        <f t="shared" si="1"/>
        <v>22</v>
      </c>
      <c r="B30" s="94" t="s">
        <v>61</v>
      </c>
      <c r="C30" s="103">
        <f>'2020 смета ГЦ (2)'!F30</f>
        <v>30000</v>
      </c>
      <c r="D30" s="113"/>
      <c r="E30" s="105"/>
      <c r="F30" s="105"/>
      <c r="G30" s="103">
        <f t="shared" si="0"/>
        <v>30000</v>
      </c>
      <c r="H30" s="111" t="s">
        <v>131</v>
      </c>
      <c r="I30" s="111"/>
    </row>
    <row r="31" spans="1:9" ht="38.25" x14ac:dyDescent="0.25">
      <c r="A31" s="109">
        <f t="shared" si="1"/>
        <v>23</v>
      </c>
      <c r="B31" s="94" t="s">
        <v>89</v>
      </c>
      <c r="C31" s="103">
        <f>'2020 смета ГЦ (2)'!F31</f>
        <v>100000</v>
      </c>
      <c r="D31" s="113"/>
      <c r="E31" s="105">
        <v>50000</v>
      </c>
      <c r="F31" s="105"/>
      <c r="G31" s="103">
        <f t="shared" si="0"/>
        <v>100000</v>
      </c>
      <c r="H31" s="105"/>
      <c r="I31" s="111" t="s">
        <v>121</v>
      </c>
    </row>
    <row r="32" spans="1:9" ht="25.5" x14ac:dyDescent="0.25">
      <c r="A32" s="109">
        <f t="shared" si="1"/>
        <v>24</v>
      </c>
      <c r="B32" s="93" t="s">
        <v>84</v>
      </c>
      <c r="C32" s="103">
        <f>'2020 смета ГЦ (2)'!F32</f>
        <v>129400</v>
      </c>
      <c r="D32" s="104">
        <f>D33+D37</f>
        <v>123900</v>
      </c>
      <c r="E32" s="105"/>
      <c r="F32" s="105"/>
      <c r="G32" s="103">
        <f t="shared" si="0"/>
        <v>129400</v>
      </c>
      <c r="H32" s="105"/>
      <c r="I32" s="105"/>
    </row>
    <row r="33" spans="1:9" ht="25.5" x14ac:dyDescent="0.25">
      <c r="A33" s="109">
        <f t="shared" si="1"/>
        <v>25</v>
      </c>
      <c r="B33" s="93" t="s">
        <v>40</v>
      </c>
      <c r="C33" s="103">
        <f>'2020 смета ГЦ (2)'!F33</f>
        <v>29400</v>
      </c>
      <c r="D33" s="110">
        <f>'2020 смета ГЦ (2)'!G33</f>
        <v>29400</v>
      </c>
      <c r="E33" s="105"/>
      <c r="F33" s="105"/>
      <c r="G33" s="103">
        <f t="shared" si="0"/>
        <v>29400</v>
      </c>
      <c r="H33" s="105"/>
      <c r="I33" s="105"/>
    </row>
    <row r="34" spans="1:9" ht="21.6" customHeight="1" x14ac:dyDescent="0.25">
      <c r="A34" s="109">
        <f t="shared" si="1"/>
        <v>26</v>
      </c>
      <c r="B34" s="98" t="s">
        <v>37</v>
      </c>
      <c r="C34" s="103">
        <f>'2020 смета ГЦ (2)'!F34</f>
        <v>16800</v>
      </c>
      <c r="D34" s="112">
        <f>'2020 смета ГЦ (2)'!G34</f>
        <v>16800</v>
      </c>
      <c r="E34" s="105"/>
      <c r="F34" s="105"/>
      <c r="G34" s="103">
        <f t="shared" si="0"/>
        <v>16800</v>
      </c>
      <c r="H34" s="173"/>
      <c r="I34" s="105"/>
    </row>
    <row r="35" spans="1:9" ht="21.6" customHeight="1" x14ac:dyDescent="0.25">
      <c r="A35" s="109">
        <f t="shared" si="1"/>
        <v>27</v>
      </c>
      <c r="B35" s="98" t="s">
        <v>38</v>
      </c>
      <c r="C35" s="103">
        <f>'2020 смета ГЦ (2)'!F35</f>
        <v>2400</v>
      </c>
      <c r="D35" s="112">
        <f>'2020 смета ГЦ (2)'!G35</f>
        <v>2400</v>
      </c>
      <c r="E35" s="105"/>
      <c r="F35" s="105"/>
      <c r="G35" s="103">
        <f t="shared" si="0"/>
        <v>2400</v>
      </c>
      <c r="H35" s="174"/>
      <c r="I35" s="105"/>
    </row>
    <row r="36" spans="1:9" ht="21.6" customHeight="1" x14ac:dyDescent="0.25">
      <c r="A36" s="109">
        <f t="shared" si="1"/>
        <v>28</v>
      </c>
      <c r="B36" s="98" t="s">
        <v>39</v>
      </c>
      <c r="C36" s="103">
        <f>'2020 смета ГЦ (2)'!F36</f>
        <v>10200</v>
      </c>
      <c r="D36" s="112">
        <f>'2020 смета ГЦ (2)'!G36</f>
        <v>10200</v>
      </c>
      <c r="E36" s="105"/>
      <c r="F36" s="105"/>
      <c r="G36" s="103">
        <f t="shared" si="0"/>
        <v>10200</v>
      </c>
      <c r="H36" s="175"/>
      <c r="I36" s="105"/>
    </row>
    <row r="37" spans="1:9" ht="38.25" x14ac:dyDescent="0.25">
      <c r="A37" s="109">
        <f t="shared" si="1"/>
        <v>29</v>
      </c>
      <c r="B37" s="93" t="s">
        <v>41</v>
      </c>
      <c r="C37" s="103">
        <f>'2020 смета ГЦ (2)'!F37</f>
        <v>100000</v>
      </c>
      <c r="D37" s="104">
        <f>D38</f>
        <v>94500</v>
      </c>
      <c r="E37" s="105"/>
      <c r="F37" s="114">
        <f>F38</f>
        <v>500</v>
      </c>
      <c r="G37" s="103">
        <f t="shared" si="0"/>
        <v>99500</v>
      </c>
      <c r="H37" s="105"/>
      <c r="I37" s="105"/>
    </row>
    <row r="38" spans="1:9" x14ac:dyDescent="0.25">
      <c r="A38" s="109">
        <f t="shared" si="1"/>
        <v>30</v>
      </c>
      <c r="B38" s="94" t="s">
        <v>45</v>
      </c>
      <c r="C38" s="111">
        <f>'2020 смета ГЦ (2)'!F38</f>
        <v>100000</v>
      </c>
      <c r="D38" s="113">
        <v>94500</v>
      </c>
      <c r="E38" s="105"/>
      <c r="F38" s="105">
        <v>500</v>
      </c>
      <c r="G38" s="111">
        <f t="shared" si="0"/>
        <v>99500</v>
      </c>
      <c r="H38" s="111"/>
      <c r="I38" s="111"/>
    </row>
    <row r="39" spans="1:9" ht="38.25" x14ac:dyDescent="0.25">
      <c r="A39" s="109">
        <f t="shared" si="1"/>
        <v>31</v>
      </c>
      <c r="B39" s="93" t="s">
        <v>58</v>
      </c>
      <c r="C39" s="103">
        <f>'2020 смета ГЦ (2)'!F39</f>
        <v>440000</v>
      </c>
      <c r="D39" s="113">
        <f>D40+D42</f>
        <v>0</v>
      </c>
      <c r="E39" s="105"/>
      <c r="F39" s="105"/>
      <c r="G39" s="103">
        <f t="shared" si="0"/>
        <v>440000</v>
      </c>
      <c r="H39" s="111" t="s">
        <v>133</v>
      </c>
      <c r="I39" s="111" t="s">
        <v>121</v>
      </c>
    </row>
    <row r="40" spans="1:9" ht="25.5" x14ac:dyDescent="0.25">
      <c r="A40" s="109">
        <f t="shared" si="1"/>
        <v>32</v>
      </c>
      <c r="B40" s="93" t="s">
        <v>40</v>
      </c>
      <c r="C40" s="103">
        <f>'2020 смета ГЦ (2)'!F40</f>
        <v>120000</v>
      </c>
      <c r="D40" s="113"/>
      <c r="E40" s="105"/>
      <c r="F40" s="105"/>
      <c r="G40" s="103">
        <f t="shared" si="0"/>
        <v>120000</v>
      </c>
      <c r="H40" s="105"/>
      <c r="I40" s="105"/>
    </row>
    <row r="41" spans="1:9" ht="38.25" x14ac:dyDescent="0.25">
      <c r="A41" s="109">
        <f t="shared" si="1"/>
        <v>33</v>
      </c>
      <c r="B41" s="94" t="s">
        <v>90</v>
      </c>
      <c r="C41" s="111">
        <f>'2020 смета ГЦ (2)'!F41</f>
        <v>120000</v>
      </c>
      <c r="D41" s="113"/>
      <c r="E41" s="105"/>
      <c r="F41" s="105"/>
      <c r="G41" s="111">
        <f t="shared" si="0"/>
        <v>120000</v>
      </c>
      <c r="H41" s="105"/>
      <c r="I41" s="111" t="s">
        <v>121</v>
      </c>
    </row>
    <row r="42" spans="1:9" ht="25.5" x14ac:dyDescent="0.25">
      <c r="A42" s="109">
        <f t="shared" si="1"/>
        <v>34</v>
      </c>
      <c r="B42" s="93" t="s">
        <v>91</v>
      </c>
      <c r="C42" s="103">
        <f>'2020 смета ГЦ (2)'!F42</f>
        <v>320000</v>
      </c>
      <c r="D42" s="113">
        <f>D43</f>
        <v>0</v>
      </c>
      <c r="E42" s="105"/>
      <c r="F42" s="105"/>
      <c r="G42" s="103">
        <f t="shared" si="0"/>
        <v>320000</v>
      </c>
      <c r="H42" s="105"/>
      <c r="I42" s="105"/>
    </row>
    <row r="43" spans="1:9" ht="38.25" x14ac:dyDescent="0.25">
      <c r="A43" s="109">
        <f t="shared" si="1"/>
        <v>35</v>
      </c>
      <c r="B43" s="94" t="s">
        <v>66</v>
      </c>
      <c r="C43" s="111">
        <f>'2020 смета ГЦ (2)'!F43</f>
        <v>320000</v>
      </c>
      <c r="D43" s="113"/>
      <c r="E43" s="105"/>
      <c r="F43" s="105"/>
      <c r="G43" s="111">
        <f t="shared" si="0"/>
        <v>320000</v>
      </c>
      <c r="H43" s="105"/>
      <c r="I43" s="111" t="s">
        <v>121</v>
      </c>
    </row>
    <row r="44" spans="1:9" x14ac:dyDescent="0.25">
      <c r="A44" s="109">
        <f t="shared" si="1"/>
        <v>36</v>
      </c>
      <c r="B44" s="99" t="s">
        <v>14</v>
      </c>
      <c r="C44" s="103">
        <f>'2020 смета ГЦ (2)'!F44</f>
        <v>3846800.25</v>
      </c>
      <c r="D44" s="113">
        <f>D9+D22+D26</f>
        <v>1609857.84</v>
      </c>
      <c r="E44" s="114">
        <f>E9+E10+E28</f>
        <v>314347</v>
      </c>
      <c r="F44" s="114">
        <f>F37+F33+F32+F28+F27+F26+F19+F18+F10+F9</f>
        <v>958941.85</v>
      </c>
      <c r="G44" s="103">
        <f t="shared" si="0"/>
        <v>2887858.4</v>
      </c>
      <c r="H44" s="105"/>
      <c r="I44" s="105"/>
    </row>
  </sheetData>
  <mergeCells count="9">
    <mergeCell ref="H6:H7"/>
    <mergeCell ref="H23:H25"/>
    <mergeCell ref="H34:H36"/>
    <mergeCell ref="A6:A7"/>
    <mergeCell ref="B6:B7"/>
    <mergeCell ref="C6:C7"/>
    <mergeCell ref="D6:D7"/>
    <mergeCell ref="E6:E7"/>
    <mergeCell ref="F6:F7"/>
  </mergeCells>
  <pageMargins left="0.7" right="0.7" top="0.75" bottom="0.75" header="0.3" footer="0.3"/>
  <pageSetup paperSize="9"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4"/>
  <sheetViews>
    <sheetView topLeftCell="A50" workbookViewId="0">
      <selection activeCell="J22" sqref="J22"/>
    </sheetView>
  </sheetViews>
  <sheetFormatPr defaultRowHeight="15" x14ac:dyDescent="0.25"/>
  <cols>
    <col min="3" max="3" width="10.5703125" customWidth="1"/>
    <col min="4" max="4" width="10.7109375" customWidth="1"/>
    <col min="8" max="8" width="11.140625" customWidth="1"/>
    <col min="10" max="10" width="12.42578125" customWidth="1"/>
    <col min="11" max="11" width="10.85546875" customWidth="1"/>
  </cols>
  <sheetData>
    <row r="1" spans="1:11" x14ac:dyDescent="0.25">
      <c r="C1" s="100"/>
      <c r="D1" s="126"/>
      <c r="E1" s="127"/>
      <c r="F1" s="127"/>
      <c r="G1" s="127"/>
      <c r="H1" s="127"/>
      <c r="I1" s="127"/>
      <c r="J1" s="134" t="s">
        <v>142</v>
      </c>
      <c r="K1" s="134"/>
    </row>
    <row r="2" spans="1:11" x14ac:dyDescent="0.25">
      <c r="C2" s="100"/>
      <c r="D2" s="126"/>
      <c r="E2" s="127"/>
      <c r="F2" s="127"/>
      <c r="G2" s="127"/>
      <c r="H2" s="127"/>
      <c r="I2" s="127"/>
      <c r="J2" s="134" t="s">
        <v>143</v>
      </c>
      <c r="K2" s="134"/>
    </row>
    <row r="3" spans="1:11" x14ac:dyDescent="0.25">
      <c r="C3" s="100"/>
      <c r="D3" s="126"/>
      <c r="E3" s="127"/>
      <c r="F3" s="127"/>
      <c r="G3" s="127"/>
      <c r="H3" s="127"/>
      <c r="I3" s="127"/>
      <c r="J3" s="134" t="s">
        <v>144</v>
      </c>
      <c r="K3" s="134"/>
    </row>
    <row r="4" spans="1:11" x14ac:dyDescent="0.25">
      <c r="A4" s="181" t="s">
        <v>145</v>
      </c>
      <c r="B4" s="181"/>
      <c r="C4" s="181"/>
      <c r="D4" s="181"/>
      <c r="E4" s="181"/>
      <c r="F4" s="181"/>
      <c r="G4" s="181"/>
      <c r="H4" s="181"/>
      <c r="I4" s="181"/>
      <c r="J4" s="181"/>
      <c r="K4" s="181"/>
    </row>
    <row r="5" spans="1:11" x14ac:dyDescent="0.25">
      <c r="A5" s="181" t="s">
        <v>146</v>
      </c>
      <c r="B5" s="181"/>
      <c r="C5" s="181"/>
      <c r="D5" s="181"/>
      <c r="E5" s="181"/>
      <c r="F5" s="181"/>
      <c r="G5" s="181"/>
      <c r="H5" s="181"/>
      <c r="I5" s="181"/>
      <c r="J5" s="181"/>
      <c r="K5" s="181"/>
    </row>
    <row r="6" spans="1:11" x14ac:dyDescent="0.25">
      <c r="A6" s="128"/>
      <c r="B6" s="128"/>
      <c r="C6" s="129"/>
      <c r="D6" s="130"/>
      <c r="E6" s="131"/>
      <c r="F6" s="132"/>
      <c r="G6" s="132"/>
      <c r="H6" s="155"/>
      <c r="I6" s="133"/>
      <c r="J6" s="102"/>
      <c r="K6" s="100"/>
    </row>
    <row r="7" spans="1:11" x14ac:dyDescent="0.25">
      <c r="A7" s="182" t="s">
        <v>147</v>
      </c>
      <c r="B7" s="182"/>
      <c r="C7" s="182"/>
      <c r="D7" s="182"/>
      <c r="E7" s="182"/>
      <c r="F7" s="182"/>
      <c r="G7" s="182"/>
      <c r="H7" s="182"/>
      <c r="I7" s="182"/>
      <c r="J7" s="182"/>
      <c r="K7" s="182"/>
    </row>
    <row r="8" spans="1:11" x14ac:dyDescent="0.25">
      <c r="A8" s="183" t="s">
        <v>148</v>
      </c>
      <c r="B8" s="183"/>
      <c r="C8" s="183"/>
      <c r="D8" s="183"/>
      <c r="E8" s="183"/>
      <c r="F8" s="183"/>
      <c r="G8" s="183"/>
      <c r="H8" s="183"/>
      <c r="I8" s="183"/>
      <c r="J8" s="183"/>
      <c r="K8" s="183"/>
    </row>
    <row r="9" spans="1:11" x14ac:dyDescent="0.25">
      <c r="A9" s="184" t="s">
        <v>149</v>
      </c>
      <c r="B9" s="184"/>
      <c r="C9" s="184"/>
      <c r="D9" s="184"/>
      <c r="E9" s="184"/>
      <c r="F9" s="184"/>
      <c r="G9" s="184"/>
      <c r="H9" s="184"/>
      <c r="I9" s="184"/>
      <c r="J9" s="184"/>
      <c r="K9" s="184"/>
    </row>
    <row r="10" spans="1:11" x14ac:dyDescent="0.25">
      <c r="C10" s="100"/>
      <c r="D10" s="126"/>
      <c r="E10" s="127"/>
      <c r="F10" s="127"/>
      <c r="G10" s="127"/>
      <c r="H10" s="127"/>
      <c r="I10" s="127"/>
      <c r="J10" s="102"/>
      <c r="K10" s="100"/>
    </row>
    <row r="11" spans="1:11" x14ac:dyDescent="0.25">
      <c r="A11" s="176" t="s">
        <v>0</v>
      </c>
      <c r="B11" s="176" t="s">
        <v>49</v>
      </c>
      <c r="C11" s="177" t="s">
        <v>97</v>
      </c>
      <c r="D11" s="178" t="s">
        <v>98</v>
      </c>
      <c r="E11" s="178" t="s">
        <v>99</v>
      </c>
      <c r="F11" s="178" t="s">
        <v>129</v>
      </c>
      <c r="G11" s="179" t="s">
        <v>130</v>
      </c>
      <c r="H11" s="179" t="s">
        <v>140</v>
      </c>
      <c r="I11" s="156" t="s">
        <v>102</v>
      </c>
      <c r="J11" s="177" t="s">
        <v>104</v>
      </c>
      <c r="K11" s="154" t="s">
        <v>105</v>
      </c>
    </row>
    <row r="12" spans="1:11" ht="38.25" x14ac:dyDescent="0.25">
      <c r="A12" s="176"/>
      <c r="B12" s="176"/>
      <c r="C12" s="177"/>
      <c r="D12" s="178"/>
      <c r="E12" s="178"/>
      <c r="F12" s="178"/>
      <c r="G12" s="180"/>
      <c r="H12" s="180"/>
      <c r="I12" s="156" t="s">
        <v>141</v>
      </c>
      <c r="J12" s="177"/>
      <c r="K12" s="154" t="s">
        <v>106</v>
      </c>
    </row>
    <row r="13" spans="1:11" x14ac:dyDescent="0.25">
      <c r="A13" s="107"/>
      <c r="B13" s="107">
        <v>1</v>
      </c>
      <c r="C13" s="108">
        <v>2</v>
      </c>
      <c r="D13" s="157">
        <v>3</v>
      </c>
      <c r="E13" s="157">
        <v>4</v>
      </c>
      <c r="F13" s="157">
        <v>5</v>
      </c>
      <c r="G13" s="157">
        <v>6</v>
      </c>
      <c r="H13" s="157">
        <v>7</v>
      </c>
      <c r="I13" s="157">
        <v>8</v>
      </c>
      <c r="J13" s="108">
        <v>9</v>
      </c>
      <c r="K13" s="108">
        <v>10</v>
      </c>
    </row>
    <row r="14" spans="1:11" ht="51" x14ac:dyDescent="0.25">
      <c r="A14" s="109">
        <v>1</v>
      </c>
      <c r="B14" s="93" t="s">
        <v>8</v>
      </c>
      <c r="C14" s="103">
        <f>'[1]2020 смета ГЦ (2)'!F9</f>
        <v>2727400.25</v>
      </c>
      <c r="D14" s="118">
        <v>1135957.8400000001</v>
      </c>
      <c r="E14" s="118">
        <v>194347</v>
      </c>
      <c r="F14" s="118">
        <v>958442.35</v>
      </c>
      <c r="G14" s="118">
        <f>G15+G21+G22+G23+G24</f>
        <v>290452.40000000002</v>
      </c>
      <c r="H14" s="118">
        <f t="shared" ref="H14:I14" si="0">H15+H21+H22+H23+H24</f>
        <v>2579199.59</v>
      </c>
      <c r="I14" s="118">
        <f t="shared" si="0"/>
        <v>148200.66000000003</v>
      </c>
      <c r="J14" s="103"/>
      <c r="K14" s="103"/>
    </row>
    <row r="15" spans="1:11" ht="51" x14ac:dyDescent="0.25">
      <c r="A15" s="109">
        <f>A14+1</f>
        <v>2</v>
      </c>
      <c r="B15" s="93" t="s">
        <v>42</v>
      </c>
      <c r="C15" s="103">
        <f>'[1]2020 смета ГЦ (2)'!F10</f>
        <v>2275000</v>
      </c>
      <c r="D15" s="118">
        <v>918190</v>
      </c>
      <c r="E15" s="119">
        <v>171945</v>
      </c>
      <c r="F15" s="119">
        <v>794477.5</v>
      </c>
      <c r="G15" s="119">
        <f>G16+G17+G18+G19+G20</f>
        <v>223180</v>
      </c>
      <c r="H15" s="119">
        <f>D15+E15+F15+G15</f>
        <v>2107792.5</v>
      </c>
      <c r="I15" s="119">
        <f>C15-H15</f>
        <v>167207.5</v>
      </c>
      <c r="J15" s="103"/>
      <c r="K15" s="103"/>
    </row>
    <row r="16" spans="1:11" ht="114.75" x14ac:dyDescent="0.25">
      <c r="A16" s="109">
        <f t="shared" ref="A16:A49" si="1">A15+1</f>
        <v>3</v>
      </c>
      <c r="B16" s="94" t="s">
        <v>92</v>
      </c>
      <c r="C16" s="111">
        <f>'[1]2020 смета ГЦ (2)'!F11</f>
        <v>455000</v>
      </c>
      <c r="D16" s="120">
        <v>183638</v>
      </c>
      <c r="E16" s="121">
        <v>53007.5</v>
      </c>
      <c r="F16" s="121">
        <v>140277</v>
      </c>
      <c r="G16" s="121">
        <f>40086+4550</f>
        <v>44636</v>
      </c>
      <c r="H16" s="121">
        <f t="shared" ref="H16:H48" si="2">D16+E16+F16+G16</f>
        <v>421558.5</v>
      </c>
      <c r="I16" s="121">
        <f t="shared" ref="I16:I48" si="3">C16-H16</f>
        <v>33441.5</v>
      </c>
      <c r="J16" s="112" t="s">
        <v>134</v>
      </c>
      <c r="K16" s="111" t="s">
        <v>121</v>
      </c>
    </row>
    <row r="17" spans="1:11" ht="51" x14ac:dyDescent="0.25">
      <c r="A17" s="109">
        <f t="shared" si="1"/>
        <v>4</v>
      </c>
      <c r="B17" s="94" t="s">
        <v>94</v>
      </c>
      <c r="C17" s="111">
        <f>'[1]2020 смета ГЦ (2)'!F12</f>
        <v>455000</v>
      </c>
      <c r="D17" s="120">
        <v>183638</v>
      </c>
      <c r="E17" s="121">
        <v>53008</v>
      </c>
      <c r="F17" s="121">
        <v>140277</v>
      </c>
      <c r="G17" s="121">
        <f>40086+4550</f>
        <v>44636</v>
      </c>
      <c r="H17" s="121">
        <f t="shared" si="2"/>
        <v>421559</v>
      </c>
      <c r="I17" s="121">
        <f t="shared" si="3"/>
        <v>33441</v>
      </c>
      <c r="J17" s="112" t="s">
        <v>137</v>
      </c>
      <c r="K17" s="111" t="s">
        <v>121</v>
      </c>
    </row>
    <row r="18" spans="1:11" ht="63.75" x14ac:dyDescent="0.25">
      <c r="A18" s="109">
        <f t="shared" si="1"/>
        <v>5</v>
      </c>
      <c r="B18" s="94" t="s">
        <v>93</v>
      </c>
      <c r="C18" s="111">
        <f>'[1]2020 смета ГЦ (2)'!F13</f>
        <v>455000</v>
      </c>
      <c r="D18" s="120">
        <v>183638</v>
      </c>
      <c r="E18" s="121"/>
      <c r="F18" s="121">
        <v>193284.5</v>
      </c>
      <c r="G18" s="121">
        <f>40086+4550</f>
        <v>44636</v>
      </c>
      <c r="H18" s="121">
        <f t="shared" si="2"/>
        <v>421558.5</v>
      </c>
      <c r="I18" s="121">
        <f t="shared" si="3"/>
        <v>33441.5</v>
      </c>
      <c r="J18" s="112" t="s">
        <v>136</v>
      </c>
      <c r="K18" s="111" t="s">
        <v>121</v>
      </c>
    </row>
    <row r="19" spans="1:11" ht="76.5" x14ac:dyDescent="0.25">
      <c r="A19" s="109">
        <f t="shared" si="1"/>
        <v>6</v>
      </c>
      <c r="B19" s="94" t="s">
        <v>95</v>
      </c>
      <c r="C19" s="111">
        <f>'[1]2020 смета ГЦ (2)'!F14</f>
        <v>455000</v>
      </c>
      <c r="D19" s="120">
        <v>183638</v>
      </c>
      <c r="E19" s="122">
        <v>53007.5</v>
      </c>
      <c r="F19" s="122">
        <v>140277</v>
      </c>
      <c r="G19" s="122">
        <f>40086+4550</f>
        <v>44636</v>
      </c>
      <c r="H19" s="121">
        <f t="shared" si="2"/>
        <v>421558.5</v>
      </c>
      <c r="I19" s="121">
        <f t="shared" si="3"/>
        <v>33441.5</v>
      </c>
      <c r="J19" s="112" t="s">
        <v>138</v>
      </c>
      <c r="K19" s="111" t="s">
        <v>121</v>
      </c>
    </row>
    <row r="20" spans="1:11" ht="89.25" x14ac:dyDescent="0.25">
      <c r="A20" s="109">
        <f t="shared" si="1"/>
        <v>7</v>
      </c>
      <c r="B20" s="94" t="s">
        <v>96</v>
      </c>
      <c r="C20" s="111">
        <f>'[1]2020 смета ГЦ (2)'!F15</f>
        <v>455000</v>
      </c>
      <c r="D20" s="120">
        <v>183638</v>
      </c>
      <c r="E20" s="122">
        <v>12922</v>
      </c>
      <c r="F20" s="122">
        <v>180362</v>
      </c>
      <c r="G20" s="122">
        <f>40086+4550</f>
        <v>44636</v>
      </c>
      <c r="H20" s="121">
        <f t="shared" si="2"/>
        <v>421558</v>
      </c>
      <c r="I20" s="121">
        <f t="shared" si="3"/>
        <v>33442</v>
      </c>
      <c r="J20" s="112" t="s">
        <v>135</v>
      </c>
      <c r="K20" s="111" t="s">
        <v>121</v>
      </c>
    </row>
    <row r="21" spans="1:11" ht="89.25" x14ac:dyDescent="0.25">
      <c r="A21" s="109">
        <f t="shared" si="1"/>
        <v>8</v>
      </c>
      <c r="B21" s="95" t="s">
        <v>43</v>
      </c>
      <c r="C21" s="103">
        <f>'[1]2020 смета ГЦ (2)'!F16</f>
        <v>192351.25</v>
      </c>
      <c r="D21" s="123">
        <v>76940</v>
      </c>
      <c r="E21" s="124">
        <v>7165</v>
      </c>
      <c r="F21" s="124">
        <v>47540</v>
      </c>
      <c r="G21" s="124">
        <v>7435</v>
      </c>
      <c r="H21" s="119">
        <f t="shared" si="2"/>
        <v>139080</v>
      </c>
      <c r="I21" s="119">
        <f t="shared" si="3"/>
        <v>53271.25</v>
      </c>
      <c r="J21" s="111" t="s">
        <v>168</v>
      </c>
      <c r="K21" s="111" t="s">
        <v>121</v>
      </c>
    </row>
    <row r="22" spans="1:11" ht="102" x14ac:dyDescent="0.25">
      <c r="A22" s="109">
        <f t="shared" si="1"/>
        <v>9</v>
      </c>
      <c r="B22" s="93" t="s">
        <v>85</v>
      </c>
      <c r="C22" s="103">
        <f>'[1]2020 смета ГЦ (2)'!F17</f>
        <v>45500</v>
      </c>
      <c r="D22" s="123">
        <v>19110</v>
      </c>
      <c r="E22" s="124"/>
      <c r="F22" s="124">
        <v>18200</v>
      </c>
      <c r="G22" s="124">
        <v>4550</v>
      </c>
      <c r="H22" s="119">
        <f t="shared" si="2"/>
        <v>41860</v>
      </c>
      <c r="I22" s="119">
        <f t="shared" si="3"/>
        <v>3640</v>
      </c>
      <c r="J22" s="111" t="s">
        <v>169</v>
      </c>
      <c r="K22" s="111" t="s">
        <v>121</v>
      </c>
    </row>
    <row r="23" spans="1:11" ht="25.5" x14ac:dyDescent="0.25">
      <c r="A23" s="109">
        <f t="shared" si="1"/>
        <v>10</v>
      </c>
      <c r="B23" s="95" t="s">
        <v>44</v>
      </c>
      <c r="C23" s="103">
        <f>'[1]2020 смета ГЦ (2)'!F18</f>
        <v>14549</v>
      </c>
      <c r="D23" s="123">
        <v>41717.839999999997</v>
      </c>
      <c r="E23" s="124">
        <v>5237</v>
      </c>
      <c r="F23" s="124">
        <v>28224.849999999991</v>
      </c>
      <c r="G23" s="124">
        <f>220+495+495+495+495+495+240+240+280.6+280.6+280.6+280.6+990</f>
        <v>5287.4</v>
      </c>
      <c r="H23" s="119">
        <f t="shared" si="2"/>
        <v>80467.089999999982</v>
      </c>
      <c r="I23" s="119">
        <f t="shared" si="3"/>
        <v>-65918.089999999982</v>
      </c>
      <c r="J23" s="105" t="s">
        <v>114</v>
      </c>
      <c r="K23" s="111"/>
    </row>
    <row r="24" spans="1:11" ht="51" x14ac:dyDescent="0.25">
      <c r="A24" s="109">
        <f t="shared" si="1"/>
        <v>11</v>
      </c>
      <c r="B24" s="96" t="s">
        <v>86</v>
      </c>
      <c r="C24" s="103">
        <f>'[1]2020 смета ГЦ (2)'!F19</f>
        <v>200000</v>
      </c>
      <c r="D24" s="123">
        <v>80000</v>
      </c>
      <c r="E24" s="124">
        <v>10000</v>
      </c>
      <c r="F24" s="124">
        <v>70000</v>
      </c>
      <c r="G24" s="124">
        <f>G25+G26</f>
        <v>50000</v>
      </c>
      <c r="H24" s="119">
        <f t="shared" si="2"/>
        <v>210000</v>
      </c>
      <c r="I24" s="119">
        <f t="shared" si="3"/>
        <v>-10000</v>
      </c>
      <c r="J24" s="105"/>
      <c r="K24" s="111"/>
    </row>
    <row r="25" spans="1:11" ht="89.25" x14ac:dyDescent="0.25">
      <c r="A25" s="109">
        <f t="shared" si="1"/>
        <v>12</v>
      </c>
      <c r="B25" s="97" t="s">
        <v>88</v>
      </c>
      <c r="C25" s="111">
        <f>'[1]2020 смета ГЦ (2)'!F20</f>
        <v>100000</v>
      </c>
      <c r="D25" s="125">
        <v>40000</v>
      </c>
      <c r="E25" s="122">
        <v>10000</v>
      </c>
      <c r="F25" s="122">
        <v>20000</v>
      </c>
      <c r="G25" s="122">
        <v>40000</v>
      </c>
      <c r="H25" s="121">
        <f t="shared" si="2"/>
        <v>110000</v>
      </c>
      <c r="I25" s="121">
        <f t="shared" si="3"/>
        <v>-10000</v>
      </c>
      <c r="J25" s="111" t="s">
        <v>139</v>
      </c>
      <c r="K25" s="111"/>
    </row>
    <row r="26" spans="1:11" ht="51" x14ac:dyDescent="0.25">
      <c r="A26" s="109">
        <f t="shared" si="1"/>
        <v>13</v>
      </c>
      <c r="B26" s="94" t="s">
        <v>50</v>
      </c>
      <c r="C26" s="111">
        <f>'[1]2020 смета ГЦ (2)'!F21</f>
        <v>100000</v>
      </c>
      <c r="D26" s="125">
        <v>40000</v>
      </c>
      <c r="E26" s="122"/>
      <c r="F26" s="122">
        <v>50000</v>
      </c>
      <c r="G26" s="122">
        <v>10000</v>
      </c>
      <c r="H26" s="121">
        <f t="shared" si="2"/>
        <v>100000</v>
      </c>
      <c r="I26" s="121">
        <f t="shared" si="3"/>
        <v>0</v>
      </c>
      <c r="J26" s="111" t="s">
        <v>132</v>
      </c>
      <c r="K26" s="111"/>
    </row>
    <row r="27" spans="1:11" ht="76.5" x14ac:dyDescent="0.25">
      <c r="A27" s="109">
        <f t="shared" si="1"/>
        <v>14</v>
      </c>
      <c r="B27" s="93" t="s">
        <v>82</v>
      </c>
      <c r="C27" s="103">
        <f>'[1]2020 смета ГЦ (2)'!F22</f>
        <v>350000</v>
      </c>
      <c r="D27" s="123">
        <v>350000</v>
      </c>
      <c r="E27" s="122"/>
      <c r="F27" s="122"/>
      <c r="G27" s="122"/>
      <c r="H27" s="119">
        <f t="shared" si="2"/>
        <v>350000</v>
      </c>
      <c r="I27" s="119">
        <f t="shared" si="3"/>
        <v>0</v>
      </c>
      <c r="J27" s="105"/>
      <c r="K27" s="105"/>
    </row>
    <row r="28" spans="1:11" x14ac:dyDescent="0.25">
      <c r="A28" s="109">
        <f t="shared" si="1"/>
        <v>15</v>
      </c>
      <c r="B28" s="98" t="s">
        <v>79</v>
      </c>
      <c r="C28" s="111">
        <f>'[1]2020 смета ГЦ (2)'!F23</f>
        <v>180000</v>
      </c>
      <c r="D28" s="125">
        <v>180000</v>
      </c>
      <c r="E28" s="122"/>
      <c r="F28" s="122"/>
      <c r="G28" s="122"/>
      <c r="H28" s="121">
        <f t="shared" si="2"/>
        <v>180000</v>
      </c>
      <c r="I28" s="121">
        <f t="shared" si="3"/>
        <v>0</v>
      </c>
      <c r="J28" s="173"/>
      <c r="K28" s="105"/>
    </row>
    <row r="29" spans="1:11" x14ac:dyDescent="0.25">
      <c r="A29" s="109">
        <f t="shared" si="1"/>
        <v>16</v>
      </c>
      <c r="B29" s="98" t="s">
        <v>80</v>
      </c>
      <c r="C29" s="111">
        <f>'[1]2020 смета ГЦ (2)'!F24</f>
        <v>20000</v>
      </c>
      <c r="D29" s="125">
        <v>20000</v>
      </c>
      <c r="E29" s="122"/>
      <c r="F29" s="122"/>
      <c r="G29" s="122"/>
      <c r="H29" s="121">
        <f t="shared" si="2"/>
        <v>20000</v>
      </c>
      <c r="I29" s="121">
        <f t="shared" si="3"/>
        <v>0</v>
      </c>
      <c r="J29" s="174"/>
      <c r="K29" s="105"/>
    </row>
    <row r="30" spans="1:11" x14ac:dyDescent="0.25">
      <c r="A30" s="109">
        <f t="shared" si="1"/>
        <v>17</v>
      </c>
      <c r="B30" s="98" t="s">
        <v>81</v>
      </c>
      <c r="C30" s="111">
        <f>'[1]2020 смета ГЦ (2)'!F25</f>
        <v>150000</v>
      </c>
      <c r="D30" s="125">
        <v>150000</v>
      </c>
      <c r="E30" s="122"/>
      <c r="F30" s="122"/>
      <c r="G30" s="122"/>
      <c r="H30" s="121">
        <f t="shared" si="2"/>
        <v>150000</v>
      </c>
      <c r="I30" s="121">
        <f t="shared" si="3"/>
        <v>0</v>
      </c>
      <c r="J30" s="175"/>
      <c r="K30" s="105"/>
    </row>
    <row r="31" spans="1:11" ht="25.5" x14ac:dyDescent="0.25">
      <c r="A31" s="109">
        <f t="shared" si="1"/>
        <v>18</v>
      </c>
      <c r="B31" s="93" t="s">
        <v>9</v>
      </c>
      <c r="C31" s="103">
        <f>'[1]2020 смета ГЦ (2)'!F26</f>
        <v>769400</v>
      </c>
      <c r="D31" s="123">
        <v>123900</v>
      </c>
      <c r="E31" s="123">
        <v>120000</v>
      </c>
      <c r="F31" s="123">
        <v>500</v>
      </c>
      <c r="G31" s="123">
        <f>G32+G37+G44</f>
        <v>190303.5</v>
      </c>
      <c r="H31" s="119">
        <f t="shared" si="2"/>
        <v>434703.5</v>
      </c>
      <c r="I31" s="119">
        <f t="shared" si="3"/>
        <v>334696.5</v>
      </c>
      <c r="J31" s="105"/>
      <c r="K31" s="105"/>
    </row>
    <row r="32" spans="1:11" ht="89.25" x14ac:dyDescent="0.25">
      <c r="A32" s="109">
        <f t="shared" si="1"/>
        <v>19</v>
      </c>
      <c r="B32" s="93" t="s">
        <v>83</v>
      </c>
      <c r="C32" s="103">
        <f>'[1]2020 смета ГЦ (2)'!F27</f>
        <v>200000</v>
      </c>
      <c r="D32" s="123">
        <v>0</v>
      </c>
      <c r="E32" s="124">
        <v>120000</v>
      </c>
      <c r="F32" s="124"/>
      <c r="G32" s="124">
        <f>G33</f>
        <v>30000</v>
      </c>
      <c r="H32" s="119">
        <f t="shared" si="2"/>
        <v>150000</v>
      </c>
      <c r="I32" s="119">
        <f t="shared" si="3"/>
        <v>50000</v>
      </c>
      <c r="J32" s="105"/>
      <c r="K32" s="105"/>
    </row>
    <row r="33" spans="1:11" ht="165.75" x14ac:dyDescent="0.25">
      <c r="A33" s="109">
        <f t="shared" si="1"/>
        <v>20</v>
      </c>
      <c r="B33" s="93" t="s">
        <v>41</v>
      </c>
      <c r="C33" s="103">
        <f>'[1]2020 смета ГЦ (2)'!F28</f>
        <v>200000</v>
      </c>
      <c r="D33" s="123">
        <v>0</v>
      </c>
      <c r="E33" s="124">
        <v>120000</v>
      </c>
      <c r="F33" s="124">
        <v>0</v>
      </c>
      <c r="G33" s="124">
        <f>G35</f>
        <v>30000</v>
      </c>
      <c r="H33" s="119">
        <f t="shared" si="2"/>
        <v>150000</v>
      </c>
      <c r="I33" s="119">
        <f t="shared" si="3"/>
        <v>50000</v>
      </c>
      <c r="J33" s="105"/>
      <c r="K33" s="111" t="s">
        <v>121</v>
      </c>
    </row>
    <row r="34" spans="1:11" ht="89.25" x14ac:dyDescent="0.25">
      <c r="A34" s="109">
        <f t="shared" si="1"/>
        <v>21</v>
      </c>
      <c r="B34" s="94" t="s">
        <v>60</v>
      </c>
      <c r="C34" s="103">
        <f>'[1]2020 смета ГЦ (2)'!F29</f>
        <v>70000</v>
      </c>
      <c r="D34" s="125"/>
      <c r="E34" s="122">
        <v>70000</v>
      </c>
      <c r="F34" s="122"/>
      <c r="G34" s="122"/>
      <c r="H34" s="121">
        <f t="shared" si="2"/>
        <v>70000</v>
      </c>
      <c r="I34" s="119">
        <f t="shared" si="3"/>
        <v>0</v>
      </c>
      <c r="J34" s="111" t="s">
        <v>128</v>
      </c>
      <c r="K34" s="111"/>
    </row>
    <row r="35" spans="1:11" ht="63.75" x14ac:dyDescent="0.25">
      <c r="A35" s="109">
        <f t="shared" si="1"/>
        <v>22</v>
      </c>
      <c r="B35" s="94" t="s">
        <v>61</v>
      </c>
      <c r="C35" s="103">
        <f>'[1]2020 смета ГЦ (2)'!F30</f>
        <v>30000</v>
      </c>
      <c r="D35" s="125"/>
      <c r="E35" s="122"/>
      <c r="F35" s="122"/>
      <c r="G35" s="122">
        <v>30000</v>
      </c>
      <c r="H35" s="121">
        <f t="shared" si="2"/>
        <v>30000</v>
      </c>
      <c r="I35" s="119">
        <f t="shared" si="3"/>
        <v>0</v>
      </c>
      <c r="J35" s="111" t="s">
        <v>131</v>
      </c>
      <c r="K35" s="111"/>
    </row>
    <row r="36" spans="1:11" ht="89.25" x14ac:dyDescent="0.25">
      <c r="A36" s="109">
        <f t="shared" si="1"/>
        <v>23</v>
      </c>
      <c r="B36" s="94" t="s">
        <v>89</v>
      </c>
      <c r="C36" s="103">
        <f>'[1]2020 смета ГЦ (2)'!F31</f>
        <v>100000</v>
      </c>
      <c r="D36" s="125"/>
      <c r="E36" s="122">
        <v>50000</v>
      </c>
      <c r="F36" s="122"/>
      <c r="G36" s="122"/>
      <c r="H36" s="121">
        <f t="shared" si="2"/>
        <v>50000</v>
      </c>
      <c r="I36" s="119">
        <f t="shared" si="3"/>
        <v>50000</v>
      </c>
      <c r="J36" s="105"/>
      <c r="K36" s="111" t="s">
        <v>121</v>
      </c>
    </row>
    <row r="37" spans="1:11" ht="76.5" x14ac:dyDescent="0.25">
      <c r="A37" s="109">
        <f t="shared" si="1"/>
        <v>24</v>
      </c>
      <c r="B37" s="93" t="s">
        <v>84</v>
      </c>
      <c r="C37" s="103">
        <f>'[1]2020 смета ГЦ (2)'!F32</f>
        <v>129400</v>
      </c>
      <c r="D37" s="123">
        <v>123900</v>
      </c>
      <c r="E37" s="122">
        <v>0</v>
      </c>
      <c r="F37" s="122">
        <v>500</v>
      </c>
      <c r="G37" s="122"/>
      <c r="H37" s="119">
        <f t="shared" si="2"/>
        <v>124400</v>
      </c>
      <c r="I37" s="119">
        <f t="shared" si="3"/>
        <v>5000</v>
      </c>
      <c r="J37" s="105"/>
      <c r="K37" s="111" t="s">
        <v>121</v>
      </c>
    </row>
    <row r="38" spans="1:11" ht="89.25" x14ac:dyDescent="0.25">
      <c r="A38" s="109">
        <f t="shared" si="1"/>
        <v>25</v>
      </c>
      <c r="B38" s="93" t="s">
        <v>40</v>
      </c>
      <c r="C38" s="103">
        <f>'[1]2020 смета ГЦ (2)'!F33</f>
        <v>29400</v>
      </c>
      <c r="D38" s="118">
        <v>29400</v>
      </c>
      <c r="E38" s="122">
        <v>0</v>
      </c>
      <c r="F38" s="122">
        <v>0</v>
      </c>
      <c r="G38" s="122"/>
      <c r="H38" s="119">
        <f t="shared" si="2"/>
        <v>29400</v>
      </c>
      <c r="I38" s="119">
        <f t="shared" si="3"/>
        <v>0</v>
      </c>
      <c r="J38" s="105"/>
      <c r="K38" s="105"/>
    </row>
    <row r="39" spans="1:11" x14ac:dyDescent="0.25">
      <c r="A39" s="109">
        <f t="shared" si="1"/>
        <v>26</v>
      </c>
      <c r="B39" s="98" t="s">
        <v>37</v>
      </c>
      <c r="C39" s="103">
        <f>'[1]2020 смета ГЦ (2)'!F34</f>
        <v>16800</v>
      </c>
      <c r="D39" s="120">
        <v>16800</v>
      </c>
      <c r="E39" s="122"/>
      <c r="F39" s="122"/>
      <c r="G39" s="122"/>
      <c r="H39" s="121">
        <f t="shared" si="2"/>
        <v>16800</v>
      </c>
      <c r="I39" s="119">
        <f t="shared" si="3"/>
        <v>0</v>
      </c>
      <c r="J39" s="173"/>
      <c r="K39" s="105"/>
    </row>
    <row r="40" spans="1:11" x14ac:dyDescent="0.25">
      <c r="A40" s="109">
        <f t="shared" si="1"/>
        <v>27</v>
      </c>
      <c r="B40" s="98" t="s">
        <v>38</v>
      </c>
      <c r="C40" s="103">
        <f>'[1]2020 смета ГЦ (2)'!F35</f>
        <v>2400</v>
      </c>
      <c r="D40" s="120">
        <v>2400</v>
      </c>
      <c r="E40" s="122"/>
      <c r="F40" s="122"/>
      <c r="G40" s="122"/>
      <c r="H40" s="121">
        <f t="shared" si="2"/>
        <v>2400</v>
      </c>
      <c r="I40" s="119">
        <f t="shared" si="3"/>
        <v>0</v>
      </c>
      <c r="J40" s="174"/>
      <c r="K40" s="105"/>
    </row>
    <row r="41" spans="1:11" x14ac:dyDescent="0.25">
      <c r="A41" s="109">
        <f t="shared" si="1"/>
        <v>28</v>
      </c>
      <c r="B41" s="98" t="s">
        <v>39</v>
      </c>
      <c r="C41" s="103">
        <f>'[1]2020 смета ГЦ (2)'!F36</f>
        <v>10200</v>
      </c>
      <c r="D41" s="120">
        <v>10200</v>
      </c>
      <c r="E41" s="122"/>
      <c r="F41" s="122"/>
      <c r="G41" s="122"/>
      <c r="H41" s="121">
        <f t="shared" si="2"/>
        <v>10200</v>
      </c>
      <c r="I41" s="119">
        <f t="shared" si="3"/>
        <v>0</v>
      </c>
      <c r="J41" s="175"/>
      <c r="K41" s="105"/>
    </row>
    <row r="42" spans="1:11" ht="165.75" x14ac:dyDescent="0.25">
      <c r="A42" s="109">
        <f t="shared" si="1"/>
        <v>29</v>
      </c>
      <c r="B42" s="93" t="s">
        <v>41</v>
      </c>
      <c r="C42" s="103">
        <f>'[1]2020 смета ГЦ (2)'!F37</f>
        <v>100000</v>
      </c>
      <c r="D42" s="123">
        <v>94500</v>
      </c>
      <c r="E42" s="122"/>
      <c r="F42" s="124">
        <v>500</v>
      </c>
      <c r="G42" s="122"/>
      <c r="H42" s="119">
        <f t="shared" si="2"/>
        <v>95000</v>
      </c>
      <c r="I42" s="119">
        <f t="shared" si="3"/>
        <v>5000</v>
      </c>
      <c r="J42" s="105"/>
      <c r="K42" s="105"/>
    </row>
    <row r="43" spans="1:11" ht="25.5" x14ac:dyDescent="0.25">
      <c r="A43" s="109">
        <f t="shared" si="1"/>
        <v>30</v>
      </c>
      <c r="B43" s="94" t="s">
        <v>45</v>
      </c>
      <c r="C43" s="111">
        <f>'[1]2020 смета ГЦ (2)'!F38</f>
        <v>100000</v>
      </c>
      <c r="D43" s="125">
        <v>94500</v>
      </c>
      <c r="E43" s="122"/>
      <c r="F43" s="122">
        <v>500</v>
      </c>
      <c r="G43" s="122"/>
      <c r="H43" s="121">
        <f t="shared" si="2"/>
        <v>95000</v>
      </c>
      <c r="I43" s="119">
        <f t="shared" si="3"/>
        <v>5000</v>
      </c>
      <c r="J43" s="111"/>
      <c r="K43" s="111"/>
    </row>
    <row r="44" spans="1:11" ht="63.75" x14ac:dyDescent="0.25">
      <c r="A44" s="109">
        <f t="shared" si="1"/>
        <v>31</v>
      </c>
      <c r="B44" s="93" t="s">
        <v>58</v>
      </c>
      <c r="C44" s="103">
        <f>'[1]2020 смета ГЦ (2)'!F39</f>
        <v>440000</v>
      </c>
      <c r="D44" s="125">
        <v>0</v>
      </c>
      <c r="E44" s="122"/>
      <c r="F44" s="122"/>
      <c r="G44" s="124">
        <v>160303.5</v>
      </c>
      <c r="H44" s="119">
        <f t="shared" si="2"/>
        <v>160303.5</v>
      </c>
      <c r="I44" s="119">
        <f t="shared" si="3"/>
        <v>279696.5</v>
      </c>
      <c r="J44" s="111" t="s">
        <v>170</v>
      </c>
      <c r="K44" s="111" t="s">
        <v>121</v>
      </c>
    </row>
    <row r="45" spans="1:11" ht="89.25" x14ac:dyDescent="0.25">
      <c r="A45" s="109">
        <f t="shared" si="1"/>
        <v>32</v>
      </c>
      <c r="B45" s="93" t="s">
        <v>40</v>
      </c>
      <c r="C45" s="103">
        <f>'[1]2020 смета ГЦ (2)'!F40</f>
        <v>120000</v>
      </c>
      <c r="D45" s="125"/>
      <c r="E45" s="122"/>
      <c r="F45" s="122"/>
      <c r="G45" s="122"/>
      <c r="H45" s="121">
        <f t="shared" si="2"/>
        <v>0</v>
      </c>
      <c r="I45" s="119">
        <f t="shared" si="3"/>
        <v>120000</v>
      </c>
      <c r="J45" s="105"/>
      <c r="K45" s="105"/>
    </row>
    <row r="46" spans="1:11" ht="76.5" x14ac:dyDescent="0.25">
      <c r="A46" s="109">
        <f t="shared" si="1"/>
        <v>33</v>
      </c>
      <c r="B46" s="94" t="s">
        <v>90</v>
      </c>
      <c r="C46" s="111">
        <f>'[1]2020 смета ГЦ (2)'!F41</f>
        <v>120000</v>
      </c>
      <c r="D46" s="125"/>
      <c r="E46" s="122"/>
      <c r="F46" s="122"/>
      <c r="G46" s="122"/>
      <c r="H46" s="121">
        <f t="shared" si="2"/>
        <v>0</v>
      </c>
      <c r="I46" s="119">
        <f t="shared" si="3"/>
        <v>120000</v>
      </c>
      <c r="J46" s="105"/>
      <c r="K46" s="111" t="s">
        <v>121</v>
      </c>
    </row>
    <row r="47" spans="1:11" ht="63.75" x14ac:dyDescent="0.25">
      <c r="A47" s="109">
        <f t="shared" si="1"/>
        <v>34</v>
      </c>
      <c r="B47" s="93" t="s">
        <v>91</v>
      </c>
      <c r="C47" s="103">
        <f>'[1]2020 смета ГЦ (2)'!F42</f>
        <v>320000</v>
      </c>
      <c r="D47" s="125">
        <v>0</v>
      </c>
      <c r="E47" s="122"/>
      <c r="F47" s="122"/>
      <c r="G47" s="122">
        <f>G48</f>
        <v>160303.5</v>
      </c>
      <c r="H47" s="121">
        <f t="shared" si="2"/>
        <v>160303.5</v>
      </c>
      <c r="I47" s="119">
        <f t="shared" si="3"/>
        <v>159696.5</v>
      </c>
      <c r="J47" s="105"/>
      <c r="K47" s="105"/>
    </row>
    <row r="48" spans="1:11" ht="38.25" x14ac:dyDescent="0.25">
      <c r="A48" s="109">
        <f t="shared" si="1"/>
        <v>35</v>
      </c>
      <c r="B48" s="94" t="s">
        <v>66</v>
      </c>
      <c r="C48" s="111">
        <f>'[1]2020 смета ГЦ (2)'!F43</f>
        <v>320000</v>
      </c>
      <c r="D48" s="125"/>
      <c r="E48" s="122"/>
      <c r="F48" s="122"/>
      <c r="G48" s="122">
        <v>160303.5</v>
      </c>
      <c r="H48" s="121">
        <f t="shared" si="2"/>
        <v>160303.5</v>
      </c>
      <c r="I48" s="119">
        <f t="shared" si="3"/>
        <v>159696.5</v>
      </c>
      <c r="J48" s="105"/>
      <c r="K48" s="111" t="s">
        <v>121</v>
      </c>
    </row>
    <row r="49" spans="1:11" x14ac:dyDescent="0.25">
      <c r="A49" s="109">
        <f t="shared" si="1"/>
        <v>36</v>
      </c>
      <c r="B49" s="99" t="s">
        <v>14</v>
      </c>
      <c r="C49" s="103">
        <f>'[1]2020 смета ГЦ (2)'!F44</f>
        <v>3846800.25</v>
      </c>
      <c r="D49" s="124">
        <v>1609857.84</v>
      </c>
      <c r="E49" s="124">
        <v>314347</v>
      </c>
      <c r="F49" s="124">
        <v>958942.35</v>
      </c>
      <c r="G49" s="124">
        <f>G14+G31</f>
        <v>480755.9</v>
      </c>
      <c r="H49" s="124">
        <f>H14+H31</f>
        <v>3013903.09</v>
      </c>
      <c r="I49" s="124">
        <f>I14+I31</f>
        <v>482897.16000000003</v>
      </c>
      <c r="J49" s="105"/>
      <c r="K49" s="105"/>
    </row>
    <row r="50" spans="1:11" x14ac:dyDescent="0.25">
      <c r="C50" s="100"/>
      <c r="D50" s="126"/>
      <c r="E50" s="127"/>
      <c r="F50" s="127"/>
      <c r="G50" s="127"/>
      <c r="H50" s="127"/>
      <c r="I50" s="127"/>
      <c r="J50" s="102"/>
      <c r="K50" s="100"/>
    </row>
    <row r="51" spans="1:11" x14ac:dyDescent="0.25">
      <c r="B51" s="133" t="s">
        <v>150</v>
      </c>
      <c r="C51" s="137"/>
      <c r="D51" s="129"/>
      <c r="E51" s="131"/>
      <c r="F51" s="131"/>
      <c r="G51" s="131"/>
      <c r="H51" s="132"/>
      <c r="I51" s="155"/>
    </row>
    <row r="52" spans="1:11" x14ac:dyDescent="0.25">
      <c r="B52" s="133" t="s">
        <v>151</v>
      </c>
      <c r="C52" s="137"/>
      <c r="D52" s="129"/>
      <c r="E52" s="131"/>
      <c r="F52" s="131"/>
      <c r="G52" s="131"/>
      <c r="H52" s="132"/>
      <c r="I52" s="155"/>
    </row>
    <row r="53" spans="1:11" x14ac:dyDescent="0.25">
      <c r="B53" s="133" t="s">
        <v>171</v>
      </c>
      <c r="C53" s="137"/>
      <c r="D53" s="129"/>
      <c r="E53" s="131"/>
      <c r="F53" s="131"/>
      <c r="G53" s="131"/>
      <c r="H53" s="132"/>
      <c r="I53" s="155"/>
    </row>
    <row r="54" spans="1:11" x14ac:dyDescent="0.25">
      <c r="B54" s="133" t="s">
        <v>172</v>
      </c>
      <c r="C54" s="137"/>
      <c r="D54" s="129"/>
      <c r="E54" s="131"/>
      <c r="F54" s="131"/>
      <c r="G54" s="131" t="s">
        <v>152</v>
      </c>
      <c r="H54" s="132"/>
      <c r="I54" s="155"/>
    </row>
  </sheetData>
  <mergeCells count="16">
    <mergeCell ref="J39:J41"/>
    <mergeCell ref="A4:K4"/>
    <mergeCell ref="A5:K5"/>
    <mergeCell ref="A7:K7"/>
    <mergeCell ref="A8:K8"/>
    <mergeCell ref="A9:K9"/>
    <mergeCell ref="A11:A12"/>
    <mergeCell ref="B11:B12"/>
    <mergeCell ref="C11:C12"/>
    <mergeCell ref="D11:D12"/>
    <mergeCell ref="E11:E12"/>
    <mergeCell ref="F11:F12"/>
    <mergeCell ref="G11:G12"/>
    <mergeCell ref="H11:H12"/>
    <mergeCell ref="J11:J12"/>
    <mergeCell ref="J28:J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U61"/>
  <sheetViews>
    <sheetView tabSelected="1" view="pageBreakPreview" zoomScale="70" zoomScaleNormal="100" zoomScaleSheetLayoutView="70" workbookViewId="0">
      <selection activeCell="F11" sqref="F11"/>
    </sheetView>
  </sheetViews>
  <sheetFormatPr defaultRowHeight="15" x14ac:dyDescent="0.25"/>
  <cols>
    <col min="1" max="1" width="4.5703125" customWidth="1"/>
    <col min="2" max="2" width="25.85546875" customWidth="1"/>
    <col min="3" max="3" width="16.28515625" style="100" customWidth="1"/>
    <col min="4" max="4" width="15.7109375" style="126" customWidth="1"/>
    <col min="5" max="5" width="14.85546875" style="127" customWidth="1"/>
    <col min="6" max="6" width="16.28515625" style="127" customWidth="1"/>
    <col min="7" max="7" width="15" style="127" customWidth="1"/>
    <col min="8" max="8" width="15.5703125" style="143" customWidth="1"/>
    <col min="9" max="9" width="14.140625" style="140" customWidth="1"/>
    <col min="10" max="10" width="12.85546875" style="140" customWidth="1"/>
    <col min="11" max="11" width="32" style="102" customWidth="1"/>
    <col min="12" max="12" width="9.28515625" style="100" customWidth="1"/>
    <col min="13" max="13" width="11.42578125" customWidth="1"/>
  </cols>
  <sheetData>
    <row r="1" spans="1:21" ht="15.75" x14ac:dyDescent="0.25">
      <c r="A1" s="181" t="s">
        <v>160</v>
      </c>
      <c r="B1" s="181"/>
      <c r="C1" s="181"/>
      <c r="D1" s="181"/>
      <c r="E1" s="181"/>
      <c r="F1" s="181"/>
      <c r="G1" s="181"/>
      <c r="H1" s="181"/>
      <c r="I1" s="181"/>
      <c r="J1" s="181"/>
      <c r="K1" s="181"/>
      <c r="L1" s="181"/>
      <c r="N1" s="193"/>
      <c r="O1" s="193"/>
      <c r="P1" s="193"/>
      <c r="Q1" s="193"/>
      <c r="R1" s="193"/>
      <c r="S1" s="193"/>
      <c r="T1" s="193"/>
      <c r="U1" s="193"/>
    </row>
    <row r="2" spans="1:21" x14ac:dyDescent="0.25">
      <c r="A2" s="181" t="s">
        <v>146</v>
      </c>
      <c r="B2" s="181"/>
      <c r="C2" s="181"/>
      <c r="D2" s="181"/>
      <c r="E2" s="181"/>
      <c r="F2" s="181"/>
      <c r="G2" s="181"/>
      <c r="H2" s="181"/>
      <c r="I2" s="181"/>
      <c r="J2" s="181"/>
      <c r="K2" s="181"/>
      <c r="L2" s="181"/>
    </row>
    <row r="3" spans="1:21" x14ac:dyDescent="0.25">
      <c r="A3" s="128"/>
      <c r="B3" s="128"/>
      <c r="C3" s="129"/>
      <c r="D3" s="130"/>
      <c r="E3" s="131"/>
      <c r="F3" s="132"/>
      <c r="G3" s="132"/>
      <c r="H3" s="132"/>
      <c r="I3" s="141"/>
      <c r="J3" s="144"/>
      <c r="M3" s="128"/>
      <c r="Q3" s="134"/>
      <c r="R3" s="134"/>
      <c r="S3" s="134"/>
      <c r="T3" s="134"/>
      <c r="U3" s="134"/>
    </row>
    <row r="4" spans="1:21" x14ac:dyDescent="0.25">
      <c r="A4" s="182" t="s">
        <v>147</v>
      </c>
      <c r="B4" s="182"/>
      <c r="C4" s="182"/>
      <c r="D4" s="182"/>
      <c r="E4" s="182"/>
      <c r="F4" s="182"/>
      <c r="G4" s="182"/>
      <c r="H4" s="182"/>
      <c r="I4" s="182"/>
      <c r="J4" s="182"/>
      <c r="K4" s="182"/>
      <c r="L4" s="182"/>
      <c r="M4" s="128"/>
      <c r="Q4" s="134"/>
      <c r="R4" s="134"/>
      <c r="S4" s="134"/>
      <c r="T4" s="134"/>
      <c r="U4" s="134"/>
    </row>
    <row r="5" spans="1:21" x14ac:dyDescent="0.25">
      <c r="A5" s="183" t="s">
        <v>148</v>
      </c>
      <c r="B5" s="183"/>
      <c r="C5" s="183"/>
      <c r="D5" s="183"/>
      <c r="E5" s="183"/>
      <c r="F5" s="183"/>
      <c r="G5" s="183"/>
      <c r="H5" s="183"/>
      <c r="I5" s="183"/>
      <c r="J5" s="183"/>
      <c r="K5" s="183"/>
      <c r="L5" s="183"/>
      <c r="M5" s="128"/>
      <c r="Q5" s="134"/>
      <c r="R5" s="134"/>
      <c r="S5" s="134"/>
      <c r="T5" s="134"/>
      <c r="U5" s="134"/>
    </row>
    <row r="6" spans="1:21" x14ac:dyDescent="0.25">
      <c r="A6" s="184" t="s">
        <v>149</v>
      </c>
      <c r="B6" s="184"/>
      <c r="C6" s="184"/>
      <c r="D6" s="184"/>
      <c r="E6" s="184"/>
      <c r="F6" s="184"/>
      <c r="G6" s="184"/>
      <c r="H6" s="184"/>
      <c r="I6" s="184"/>
      <c r="J6" s="184"/>
      <c r="K6" s="184"/>
      <c r="L6" s="184"/>
    </row>
    <row r="7" spans="1:21" ht="4.5" customHeight="1" x14ac:dyDescent="0.25"/>
    <row r="8" spans="1:21" ht="15" customHeight="1" x14ac:dyDescent="0.25">
      <c r="A8" s="188" t="s">
        <v>0</v>
      </c>
      <c r="B8" s="188" t="s">
        <v>49</v>
      </c>
      <c r="C8" s="189" t="s">
        <v>97</v>
      </c>
      <c r="D8" s="190" t="s">
        <v>98</v>
      </c>
      <c r="E8" s="190" t="s">
        <v>99</v>
      </c>
      <c r="F8" s="190" t="s">
        <v>129</v>
      </c>
      <c r="G8" s="191" t="s">
        <v>130</v>
      </c>
      <c r="H8" s="146"/>
      <c r="I8" s="191" t="s">
        <v>140</v>
      </c>
      <c r="J8" s="147" t="s">
        <v>102</v>
      </c>
      <c r="K8" s="189" t="s">
        <v>104</v>
      </c>
      <c r="L8" s="148" t="s">
        <v>105</v>
      </c>
    </row>
    <row r="9" spans="1:21" ht="51" x14ac:dyDescent="0.25">
      <c r="A9" s="188"/>
      <c r="B9" s="188"/>
      <c r="C9" s="189"/>
      <c r="D9" s="190"/>
      <c r="E9" s="190"/>
      <c r="F9" s="190"/>
      <c r="G9" s="192"/>
      <c r="H9" s="149" t="s">
        <v>153</v>
      </c>
      <c r="I9" s="192"/>
      <c r="J9" s="147" t="s">
        <v>141</v>
      </c>
      <c r="K9" s="189"/>
      <c r="L9" s="148" t="s">
        <v>106</v>
      </c>
    </row>
    <row r="10" spans="1:21" x14ac:dyDescent="0.25">
      <c r="A10" s="150"/>
      <c r="B10" s="150" t="s">
        <v>175</v>
      </c>
      <c r="C10" s="151">
        <v>2</v>
      </c>
      <c r="D10" s="152">
        <v>3</v>
      </c>
      <c r="E10" s="152">
        <v>4</v>
      </c>
      <c r="F10" s="152">
        <v>5</v>
      </c>
      <c r="G10" s="152">
        <v>6</v>
      </c>
      <c r="H10" s="153"/>
      <c r="I10" s="152">
        <v>7</v>
      </c>
      <c r="J10" s="152">
        <v>8</v>
      </c>
      <c r="K10" s="151">
        <v>9</v>
      </c>
      <c r="L10" s="151">
        <v>10</v>
      </c>
    </row>
    <row r="11" spans="1:21" ht="25.5" x14ac:dyDescent="0.25">
      <c r="A11" s="109">
        <v>1</v>
      </c>
      <c r="B11" s="93" t="s">
        <v>8</v>
      </c>
      <c r="C11" s="194">
        <f>'2020 смета ГЦ (2)'!F9</f>
        <v>2727400.25</v>
      </c>
      <c r="D11" s="194">
        <v>1135957.8400000001</v>
      </c>
      <c r="E11" s="197">
        <v>194347</v>
      </c>
      <c r="F11" s="194">
        <v>958442.35</v>
      </c>
      <c r="G11" s="194">
        <f>G12+G18+G19+G20+G21</f>
        <v>290452.40000000002</v>
      </c>
      <c r="H11" s="195">
        <f>H12+H18+H19+H20+H21</f>
        <v>204388.85</v>
      </c>
      <c r="I11" s="196">
        <f>I12+I18+I19+I20+I21</f>
        <v>2783588.44</v>
      </c>
      <c r="J11" s="196">
        <f>J12+J18+J19+J20+J21</f>
        <v>-56188.189999999988</v>
      </c>
      <c r="K11" s="103"/>
      <c r="L11" s="103"/>
    </row>
    <row r="12" spans="1:21" ht="25.5" x14ac:dyDescent="0.25">
      <c r="A12" s="109"/>
      <c r="B12" s="93" t="s">
        <v>42</v>
      </c>
      <c r="C12" s="197">
        <f>'2020 смета ГЦ (2)'!F10</f>
        <v>2275000</v>
      </c>
      <c r="D12" s="194">
        <v>918190</v>
      </c>
      <c r="E12" s="194">
        <v>171945</v>
      </c>
      <c r="F12" s="194">
        <v>794477.5</v>
      </c>
      <c r="G12" s="194">
        <f>G13+G14+G15+G16+G17</f>
        <v>223180</v>
      </c>
      <c r="H12" s="195">
        <f>H13+H14+H15+H16+H17</f>
        <v>202475</v>
      </c>
      <c r="I12" s="196">
        <f>D12+E12+F12+G12+H12</f>
        <v>2310267.5</v>
      </c>
      <c r="J12" s="196">
        <f t="shared" ref="J12:J45" si="0">C12-I12</f>
        <v>-35267.5</v>
      </c>
      <c r="K12" s="103"/>
      <c r="L12" s="103"/>
      <c r="N12" s="138"/>
    </row>
    <row r="13" spans="1:21" ht="267.75" x14ac:dyDescent="0.25">
      <c r="A13" s="109"/>
      <c r="B13" s="94" t="s">
        <v>161</v>
      </c>
      <c r="C13" s="198">
        <f>'2020 смета ГЦ (2)'!F11</f>
        <v>455000</v>
      </c>
      <c r="D13" s="198">
        <v>183638</v>
      </c>
      <c r="E13" s="199">
        <v>53007.5</v>
      </c>
      <c r="F13" s="198">
        <v>140277</v>
      </c>
      <c r="G13" s="198">
        <f>40086+4550</f>
        <v>44636</v>
      </c>
      <c r="H13" s="200">
        <v>40495</v>
      </c>
      <c r="I13" s="201">
        <f>D13+E13+F13+G13+H13</f>
        <v>462053.5</v>
      </c>
      <c r="J13" s="201">
        <f t="shared" si="0"/>
        <v>-7053.5</v>
      </c>
      <c r="K13" s="112" t="s">
        <v>173</v>
      </c>
      <c r="L13" s="111" t="s">
        <v>155</v>
      </c>
      <c r="N13" t="s">
        <v>174</v>
      </c>
    </row>
    <row r="14" spans="1:21" ht="165.75" x14ac:dyDescent="0.25">
      <c r="A14" s="109"/>
      <c r="B14" s="94" t="s">
        <v>162</v>
      </c>
      <c r="C14" s="198">
        <f>'2020 смета ГЦ (2)'!F12</f>
        <v>455000</v>
      </c>
      <c r="D14" s="198">
        <v>183638</v>
      </c>
      <c r="E14" s="198">
        <v>53008</v>
      </c>
      <c r="F14" s="198">
        <v>140277</v>
      </c>
      <c r="G14" s="198">
        <f>40086+4550</f>
        <v>44636</v>
      </c>
      <c r="H14" s="200">
        <v>40495</v>
      </c>
      <c r="I14" s="202">
        <f t="shared" ref="I14:I17" si="1">D14+E14+F14+G14+H14</f>
        <v>462054</v>
      </c>
      <c r="J14" s="202">
        <f t="shared" si="0"/>
        <v>-7054</v>
      </c>
      <c r="K14" s="112" t="s">
        <v>188</v>
      </c>
      <c r="L14" s="111" t="s">
        <v>155</v>
      </c>
    </row>
    <row r="15" spans="1:21" ht="242.25" x14ac:dyDescent="0.25">
      <c r="A15" s="109">
        <f t="shared" ref="A15:A21" si="2">A14+1</f>
        <v>1</v>
      </c>
      <c r="B15" s="94" t="s">
        <v>163</v>
      </c>
      <c r="C15" s="198">
        <f>'2020 смета ГЦ (2)'!F13</f>
        <v>455000</v>
      </c>
      <c r="D15" s="198">
        <v>183638</v>
      </c>
      <c r="E15" s="199"/>
      <c r="F15" s="199">
        <v>193284.5</v>
      </c>
      <c r="G15" s="199">
        <f>40086+4550</f>
        <v>44636</v>
      </c>
      <c r="H15" s="200">
        <v>40495</v>
      </c>
      <c r="I15" s="201">
        <f t="shared" si="1"/>
        <v>462053.5</v>
      </c>
      <c r="J15" s="201">
        <f t="shared" si="0"/>
        <v>-7053.5</v>
      </c>
      <c r="K15" s="112" t="s">
        <v>186</v>
      </c>
      <c r="L15" s="111" t="s">
        <v>155</v>
      </c>
      <c r="N15" s="100"/>
    </row>
    <row r="16" spans="1:21" ht="255" x14ac:dyDescent="0.25">
      <c r="A16" s="109">
        <f t="shared" si="2"/>
        <v>2</v>
      </c>
      <c r="B16" s="94" t="s">
        <v>95</v>
      </c>
      <c r="C16" s="198">
        <f>'2020 смета ГЦ (2)'!F14</f>
        <v>455000</v>
      </c>
      <c r="D16" s="198">
        <v>183638</v>
      </c>
      <c r="E16" s="203">
        <v>53007.5</v>
      </c>
      <c r="F16" s="204">
        <v>140277</v>
      </c>
      <c r="G16" s="204">
        <f>40086+4550</f>
        <v>44636</v>
      </c>
      <c r="H16" s="200">
        <v>40495</v>
      </c>
      <c r="I16" s="201">
        <f t="shared" si="1"/>
        <v>462053.5</v>
      </c>
      <c r="J16" s="201">
        <f t="shared" si="0"/>
        <v>-7053.5</v>
      </c>
      <c r="K16" s="112" t="s">
        <v>185</v>
      </c>
      <c r="L16" s="111" t="s">
        <v>155</v>
      </c>
    </row>
    <row r="17" spans="1:12" ht="267.75" x14ac:dyDescent="0.25">
      <c r="A17" s="109">
        <f t="shared" si="2"/>
        <v>3</v>
      </c>
      <c r="B17" s="94" t="s">
        <v>164</v>
      </c>
      <c r="C17" s="198">
        <f>'2020 смета ГЦ (2)'!F15</f>
        <v>455000</v>
      </c>
      <c r="D17" s="198">
        <v>183638</v>
      </c>
      <c r="E17" s="204">
        <v>12922</v>
      </c>
      <c r="F17" s="204">
        <v>180362</v>
      </c>
      <c r="G17" s="204">
        <f>40086+4550</f>
        <v>44636</v>
      </c>
      <c r="H17" s="200">
        <v>40495</v>
      </c>
      <c r="I17" s="202">
        <f t="shared" si="1"/>
        <v>462053</v>
      </c>
      <c r="J17" s="202">
        <f t="shared" si="0"/>
        <v>-7053</v>
      </c>
      <c r="K17" s="112" t="s">
        <v>187</v>
      </c>
      <c r="L17" s="111" t="s">
        <v>155</v>
      </c>
    </row>
    <row r="18" spans="1:12" ht="63.75" x14ac:dyDescent="0.25">
      <c r="A18" s="109">
        <f t="shared" si="2"/>
        <v>4</v>
      </c>
      <c r="B18" s="95" t="s">
        <v>43</v>
      </c>
      <c r="C18" s="194">
        <f>'2020 смета ГЦ (2)'!F16</f>
        <v>192351.25</v>
      </c>
      <c r="D18" s="205">
        <v>76940</v>
      </c>
      <c r="E18" s="205">
        <v>7165</v>
      </c>
      <c r="F18" s="205">
        <v>47540</v>
      </c>
      <c r="G18" s="205">
        <v>7435</v>
      </c>
      <c r="H18" s="206"/>
      <c r="I18" s="207">
        <f>D18+E18+F18+G18+H18</f>
        <v>139080</v>
      </c>
      <c r="J18" s="196">
        <f t="shared" si="0"/>
        <v>53271.25</v>
      </c>
      <c r="K18" s="111" t="s">
        <v>176</v>
      </c>
      <c r="L18" s="111" t="s">
        <v>156</v>
      </c>
    </row>
    <row r="19" spans="1:12" ht="51" x14ac:dyDescent="0.25">
      <c r="A19" s="109">
        <f t="shared" si="2"/>
        <v>5</v>
      </c>
      <c r="B19" s="93" t="s">
        <v>85</v>
      </c>
      <c r="C19" s="197">
        <f>'2020 смета ГЦ (2)'!F17</f>
        <v>45500</v>
      </c>
      <c r="D19" s="205">
        <v>19110</v>
      </c>
      <c r="E19" s="205"/>
      <c r="F19" s="205">
        <v>18200</v>
      </c>
      <c r="G19" s="205">
        <v>4550</v>
      </c>
      <c r="H19" s="206">
        <v>-910</v>
      </c>
      <c r="I19" s="207">
        <f>D19+E19+F19+G19+H19</f>
        <v>40950</v>
      </c>
      <c r="J19" s="207">
        <f t="shared" si="0"/>
        <v>4550</v>
      </c>
      <c r="K19" s="111" t="s">
        <v>177</v>
      </c>
      <c r="L19" s="111"/>
    </row>
    <row r="20" spans="1:12" ht="25.5" x14ac:dyDescent="0.25">
      <c r="A20" s="109">
        <f t="shared" si="2"/>
        <v>6</v>
      </c>
      <c r="B20" s="95" t="s">
        <v>44</v>
      </c>
      <c r="C20" s="197">
        <f>'2020 смета ГЦ (2)'!F18</f>
        <v>14549</v>
      </c>
      <c r="D20" s="208">
        <v>41717.839999999997</v>
      </c>
      <c r="E20" s="205">
        <v>5237</v>
      </c>
      <c r="F20" s="208">
        <v>28224.849999999991</v>
      </c>
      <c r="G20" s="208">
        <f>220+495+495+495+495+495+240+240+280.6+280.6+280.6+280.6+990</f>
        <v>5287.4</v>
      </c>
      <c r="H20" s="209">
        <v>2823.85</v>
      </c>
      <c r="I20" s="196">
        <f>D20+E20+F20+G20+H20</f>
        <v>83290.939999999988</v>
      </c>
      <c r="J20" s="196">
        <f t="shared" si="0"/>
        <v>-68741.939999999988</v>
      </c>
      <c r="K20" s="105" t="s">
        <v>114</v>
      </c>
      <c r="L20" s="111" t="s">
        <v>154</v>
      </c>
    </row>
    <row r="21" spans="1:12" ht="25.5" x14ac:dyDescent="0.25">
      <c r="A21" s="109">
        <f t="shared" si="2"/>
        <v>7</v>
      </c>
      <c r="B21" s="96" t="s">
        <v>86</v>
      </c>
      <c r="C21" s="197">
        <f>'2020 смета ГЦ (2)'!F19</f>
        <v>200000</v>
      </c>
      <c r="D21" s="205">
        <v>80000</v>
      </c>
      <c r="E21" s="205">
        <v>10000</v>
      </c>
      <c r="F21" s="205">
        <v>70000</v>
      </c>
      <c r="G21" s="205">
        <f>G22+G23</f>
        <v>50000</v>
      </c>
      <c r="H21" s="206">
        <f>H22+H23</f>
        <v>0</v>
      </c>
      <c r="I21" s="207">
        <f t="shared" ref="I21" si="3">D21+E21+F21+G21+H21</f>
        <v>210000</v>
      </c>
      <c r="J21" s="207">
        <f t="shared" si="0"/>
        <v>-10000</v>
      </c>
      <c r="K21" s="105"/>
      <c r="L21" s="111"/>
    </row>
    <row r="22" spans="1:12" ht="102" x14ac:dyDescent="0.25">
      <c r="A22" s="109"/>
      <c r="B22" s="97" t="s">
        <v>88</v>
      </c>
      <c r="C22" s="198">
        <f>'2020 смета ГЦ (2)'!F20</f>
        <v>100000</v>
      </c>
      <c r="D22" s="204">
        <v>40000</v>
      </c>
      <c r="E22" s="204">
        <v>10000</v>
      </c>
      <c r="F22" s="204">
        <v>20000</v>
      </c>
      <c r="G22" s="204">
        <v>40000</v>
      </c>
      <c r="H22" s="210"/>
      <c r="I22" s="202">
        <f t="shared" ref="I22:I27" si="4">D22+E22+F22+G22</f>
        <v>110000</v>
      </c>
      <c r="J22" s="202">
        <f t="shared" si="0"/>
        <v>-10000</v>
      </c>
      <c r="K22" s="111" t="s">
        <v>179</v>
      </c>
      <c r="L22" s="111" t="s">
        <v>180</v>
      </c>
    </row>
    <row r="23" spans="1:12" ht="127.5" x14ac:dyDescent="0.25">
      <c r="A23" s="109"/>
      <c r="B23" s="94" t="s">
        <v>50</v>
      </c>
      <c r="C23" s="198">
        <f>'2020 смета ГЦ (2)'!F21</f>
        <v>100000</v>
      </c>
      <c r="D23" s="204">
        <v>40000</v>
      </c>
      <c r="E23" s="204"/>
      <c r="F23" s="204">
        <v>50000</v>
      </c>
      <c r="G23" s="204">
        <v>10000</v>
      </c>
      <c r="H23" s="210"/>
      <c r="I23" s="202">
        <f t="shared" si="4"/>
        <v>100000</v>
      </c>
      <c r="J23" s="202">
        <f t="shared" si="0"/>
        <v>0</v>
      </c>
      <c r="K23" s="111" t="s">
        <v>178</v>
      </c>
      <c r="L23" s="111"/>
    </row>
    <row r="24" spans="1:12" ht="38.25" x14ac:dyDescent="0.25">
      <c r="A24" s="109">
        <v>2</v>
      </c>
      <c r="B24" s="93" t="s">
        <v>82</v>
      </c>
      <c r="C24" s="197">
        <f>'2020 смета ГЦ (2)'!F22</f>
        <v>350000</v>
      </c>
      <c r="D24" s="205">
        <v>350000</v>
      </c>
      <c r="E24" s="204"/>
      <c r="F24" s="204"/>
      <c r="G24" s="204"/>
      <c r="H24" s="210"/>
      <c r="I24" s="207">
        <f t="shared" si="4"/>
        <v>350000</v>
      </c>
      <c r="J24" s="207">
        <f t="shared" si="0"/>
        <v>0</v>
      </c>
      <c r="K24" s="105"/>
      <c r="L24" s="105"/>
    </row>
    <row r="25" spans="1:12" ht="15" customHeight="1" x14ac:dyDescent="0.25">
      <c r="A25" s="109"/>
      <c r="B25" s="98" t="s">
        <v>79</v>
      </c>
      <c r="C25" s="198">
        <f>'2020 смета ГЦ (2)'!F23</f>
        <v>180000</v>
      </c>
      <c r="D25" s="204">
        <v>180000</v>
      </c>
      <c r="E25" s="204"/>
      <c r="F25" s="204"/>
      <c r="G25" s="204"/>
      <c r="H25" s="210"/>
      <c r="I25" s="202">
        <f t="shared" si="4"/>
        <v>180000</v>
      </c>
      <c r="J25" s="202">
        <f t="shared" si="0"/>
        <v>0</v>
      </c>
      <c r="K25" s="185" t="s">
        <v>189</v>
      </c>
      <c r="L25" s="105"/>
    </row>
    <row r="26" spans="1:12" ht="18" customHeight="1" x14ac:dyDescent="0.25">
      <c r="A26" s="109"/>
      <c r="B26" s="98" t="s">
        <v>80</v>
      </c>
      <c r="C26" s="198">
        <f>'2020 смета ГЦ (2)'!F24</f>
        <v>20000</v>
      </c>
      <c r="D26" s="204">
        <v>20000</v>
      </c>
      <c r="E26" s="204"/>
      <c r="F26" s="204"/>
      <c r="G26" s="204"/>
      <c r="H26" s="210"/>
      <c r="I26" s="202">
        <f t="shared" si="4"/>
        <v>20000</v>
      </c>
      <c r="J26" s="202">
        <f t="shared" si="0"/>
        <v>0</v>
      </c>
      <c r="K26" s="186"/>
      <c r="L26" s="105"/>
    </row>
    <row r="27" spans="1:12" ht="18.95" customHeight="1" x14ac:dyDescent="0.25">
      <c r="A27" s="109"/>
      <c r="B27" s="98" t="s">
        <v>81</v>
      </c>
      <c r="C27" s="198">
        <f>'2020 смета ГЦ (2)'!F25</f>
        <v>150000</v>
      </c>
      <c r="D27" s="204">
        <v>150000</v>
      </c>
      <c r="E27" s="204"/>
      <c r="F27" s="204"/>
      <c r="G27" s="204"/>
      <c r="H27" s="210"/>
      <c r="I27" s="202">
        <f t="shared" si="4"/>
        <v>150000</v>
      </c>
      <c r="J27" s="202">
        <f t="shared" si="0"/>
        <v>0</v>
      </c>
      <c r="K27" s="187"/>
      <c r="L27" s="105"/>
    </row>
    <row r="28" spans="1:12" x14ac:dyDescent="0.25">
      <c r="A28" s="109">
        <v>3</v>
      </c>
      <c r="B28" s="93" t="s">
        <v>9</v>
      </c>
      <c r="C28" s="197">
        <f>'2020 смета ГЦ (2)'!F26</f>
        <v>769400</v>
      </c>
      <c r="D28" s="205">
        <v>123900</v>
      </c>
      <c r="E28" s="205">
        <v>120000</v>
      </c>
      <c r="F28" s="205">
        <v>500</v>
      </c>
      <c r="G28" s="205">
        <f>G29+G34+G41</f>
        <v>190303.5</v>
      </c>
      <c r="H28" s="206">
        <f>H29+H34+H41</f>
        <v>279696.5</v>
      </c>
      <c r="I28" s="207">
        <f>D28+E28+F28+G28+H28</f>
        <v>714400</v>
      </c>
      <c r="J28" s="207">
        <f t="shared" si="0"/>
        <v>55000</v>
      </c>
      <c r="K28" s="105"/>
      <c r="L28" s="105"/>
    </row>
    <row r="29" spans="1:12" ht="38.25" x14ac:dyDescent="0.25">
      <c r="A29" s="109"/>
      <c r="B29" s="93" t="s">
        <v>83</v>
      </c>
      <c r="C29" s="197">
        <f>'2020 смета ГЦ (2)'!F27</f>
        <v>200000</v>
      </c>
      <c r="D29" s="205">
        <v>0</v>
      </c>
      <c r="E29" s="205">
        <v>120000</v>
      </c>
      <c r="F29" s="205"/>
      <c r="G29" s="205">
        <f>G30</f>
        <v>30000</v>
      </c>
      <c r="H29" s="206">
        <f>H30</f>
        <v>0</v>
      </c>
      <c r="I29" s="207">
        <f t="shared" ref="I29:I40" si="5">D29+E29+F29+G29</f>
        <v>150000</v>
      </c>
      <c r="J29" s="207">
        <f t="shared" si="0"/>
        <v>50000</v>
      </c>
      <c r="K29" s="105"/>
      <c r="L29" s="105"/>
    </row>
    <row r="30" spans="1:12" ht="63.75" x14ac:dyDescent="0.25">
      <c r="A30" s="109"/>
      <c r="B30" s="93" t="s">
        <v>41</v>
      </c>
      <c r="C30" s="197">
        <f>'2020 смета ГЦ (2)'!F28</f>
        <v>200000</v>
      </c>
      <c r="D30" s="205">
        <v>0</v>
      </c>
      <c r="E30" s="205">
        <v>120000</v>
      </c>
      <c r="F30" s="205">
        <v>0</v>
      </c>
      <c r="G30" s="205">
        <f>G32</f>
        <v>30000</v>
      </c>
      <c r="H30" s="206"/>
      <c r="I30" s="207">
        <f t="shared" si="5"/>
        <v>150000</v>
      </c>
      <c r="J30" s="207">
        <f t="shared" si="0"/>
        <v>50000</v>
      </c>
      <c r="K30" s="105"/>
      <c r="L30" s="111"/>
    </row>
    <row r="31" spans="1:12" ht="38.25" x14ac:dyDescent="0.25">
      <c r="A31" s="109"/>
      <c r="B31" s="94" t="s">
        <v>60</v>
      </c>
      <c r="C31" s="197">
        <f>'2020 смета ГЦ (2)'!F29</f>
        <v>70000</v>
      </c>
      <c r="D31" s="204"/>
      <c r="E31" s="204">
        <v>70000</v>
      </c>
      <c r="F31" s="204"/>
      <c r="G31" s="204"/>
      <c r="H31" s="210"/>
      <c r="I31" s="202">
        <f t="shared" si="5"/>
        <v>70000</v>
      </c>
      <c r="J31" s="207">
        <f t="shared" si="0"/>
        <v>0</v>
      </c>
      <c r="K31" s="111" t="s">
        <v>165</v>
      </c>
      <c r="L31" s="111"/>
    </row>
    <row r="32" spans="1:12" ht="38.25" x14ac:dyDescent="0.25">
      <c r="A32" s="109"/>
      <c r="B32" s="94" t="s">
        <v>61</v>
      </c>
      <c r="C32" s="197">
        <f>'2020 смета ГЦ (2)'!F30</f>
        <v>30000</v>
      </c>
      <c r="D32" s="204"/>
      <c r="E32" s="204"/>
      <c r="F32" s="204"/>
      <c r="G32" s="204">
        <v>30000</v>
      </c>
      <c r="H32" s="210"/>
      <c r="I32" s="202">
        <f t="shared" si="5"/>
        <v>30000</v>
      </c>
      <c r="J32" s="207">
        <f t="shared" si="0"/>
        <v>0</v>
      </c>
      <c r="K32" s="111" t="s">
        <v>166</v>
      </c>
      <c r="L32" s="111"/>
    </row>
    <row r="33" spans="1:12" ht="38.25" x14ac:dyDescent="0.25">
      <c r="A33" s="109"/>
      <c r="B33" s="94" t="s">
        <v>89</v>
      </c>
      <c r="C33" s="197">
        <f>'2020 смета ГЦ (2)'!F31</f>
        <v>100000</v>
      </c>
      <c r="D33" s="204"/>
      <c r="E33" s="204">
        <v>50000</v>
      </c>
      <c r="F33" s="204"/>
      <c r="G33" s="204"/>
      <c r="H33" s="210">
        <v>0</v>
      </c>
      <c r="I33" s="202">
        <f t="shared" si="5"/>
        <v>50000</v>
      </c>
      <c r="J33" s="207">
        <f t="shared" si="0"/>
        <v>50000</v>
      </c>
      <c r="K33" s="111" t="s">
        <v>181</v>
      </c>
      <c r="L33" s="111"/>
    </row>
    <row r="34" spans="1:12" ht="38.25" x14ac:dyDescent="0.25">
      <c r="A34" s="109"/>
      <c r="B34" s="93" t="s">
        <v>84</v>
      </c>
      <c r="C34" s="197">
        <f>'2020 смета ГЦ (2)'!F32</f>
        <v>129400</v>
      </c>
      <c r="D34" s="205">
        <v>123900</v>
      </c>
      <c r="E34" s="204">
        <v>0</v>
      </c>
      <c r="F34" s="204">
        <v>500</v>
      </c>
      <c r="G34" s="204"/>
      <c r="H34" s="210">
        <v>0</v>
      </c>
      <c r="I34" s="207">
        <f t="shared" si="5"/>
        <v>124400</v>
      </c>
      <c r="J34" s="207">
        <f t="shared" si="0"/>
        <v>5000</v>
      </c>
      <c r="K34" s="105"/>
      <c r="L34" s="111"/>
    </row>
    <row r="35" spans="1:12" ht="51" x14ac:dyDescent="0.25">
      <c r="A35" s="109"/>
      <c r="B35" s="93" t="s">
        <v>40</v>
      </c>
      <c r="C35" s="197">
        <f>'2020 смета ГЦ (2)'!F33</f>
        <v>29400</v>
      </c>
      <c r="D35" s="197">
        <v>29400</v>
      </c>
      <c r="E35" s="204">
        <v>0</v>
      </c>
      <c r="F35" s="204">
        <v>0</v>
      </c>
      <c r="G35" s="204"/>
      <c r="H35" s="210"/>
      <c r="I35" s="207">
        <f t="shared" si="5"/>
        <v>29400</v>
      </c>
      <c r="J35" s="207">
        <f t="shared" si="0"/>
        <v>0</v>
      </c>
      <c r="K35" s="105"/>
      <c r="L35" s="105"/>
    </row>
    <row r="36" spans="1:12" ht="16.5" customHeight="1" x14ac:dyDescent="0.25">
      <c r="A36" s="109"/>
      <c r="B36" s="98" t="s">
        <v>37</v>
      </c>
      <c r="C36" s="197">
        <f>'2020 смета ГЦ (2)'!F34</f>
        <v>16800</v>
      </c>
      <c r="D36" s="198">
        <v>16800</v>
      </c>
      <c r="E36" s="204"/>
      <c r="F36" s="204"/>
      <c r="G36" s="204"/>
      <c r="H36" s="210"/>
      <c r="I36" s="202">
        <f t="shared" si="5"/>
        <v>16800</v>
      </c>
      <c r="J36" s="207">
        <f t="shared" si="0"/>
        <v>0</v>
      </c>
      <c r="K36" s="173" t="s">
        <v>120</v>
      </c>
      <c r="L36" s="105"/>
    </row>
    <row r="37" spans="1:12" ht="16.5" customHeight="1" x14ac:dyDescent="0.25">
      <c r="A37" s="109"/>
      <c r="B37" s="98" t="s">
        <v>38</v>
      </c>
      <c r="C37" s="197">
        <f>'2020 смета ГЦ (2)'!F35</f>
        <v>2400</v>
      </c>
      <c r="D37" s="198">
        <v>2400</v>
      </c>
      <c r="E37" s="204"/>
      <c r="F37" s="204"/>
      <c r="G37" s="204"/>
      <c r="H37" s="210"/>
      <c r="I37" s="202">
        <f t="shared" si="5"/>
        <v>2400</v>
      </c>
      <c r="J37" s="207">
        <f t="shared" si="0"/>
        <v>0</v>
      </c>
      <c r="K37" s="174"/>
      <c r="L37" s="105"/>
    </row>
    <row r="38" spans="1:12" ht="16.5" customHeight="1" x14ac:dyDescent="0.25">
      <c r="A38" s="109"/>
      <c r="B38" s="98" t="s">
        <v>39</v>
      </c>
      <c r="C38" s="197">
        <f>'2020 смета ГЦ (2)'!F36</f>
        <v>10200</v>
      </c>
      <c r="D38" s="198">
        <v>10200</v>
      </c>
      <c r="E38" s="204"/>
      <c r="F38" s="204"/>
      <c r="G38" s="204"/>
      <c r="H38" s="210"/>
      <c r="I38" s="202">
        <f t="shared" si="5"/>
        <v>10200</v>
      </c>
      <c r="J38" s="207">
        <f t="shared" si="0"/>
        <v>0</v>
      </c>
      <c r="K38" s="175"/>
      <c r="L38" s="105"/>
    </row>
    <row r="39" spans="1:12" ht="63.75" x14ac:dyDescent="0.25">
      <c r="A39" s="109"/>
      <c r="B39" s="93" t="s">
        <v>41</v>
      </c>
      <c r="C39" s="197">
        <f>'2020 смета ГЦ (2)'!F37</f>
        <v>100000</v>
      </c>
      <c r="D39" s="205">
        <v>94500</v>
      </c>
      <c r="E39" s="204"/>
      <c r="F39" s="205">
        <v>500</v>
      </c>
      <c r="G39" s="204"/>
      <c r="H39" s="210"/>
      <c r="I39" s="207">
        <f t="shared" si="5"/>
        <v>95000</v>
      </c>
      <c r="J39" s="207">
        <f t="shared" si="0"/>
        <v>5000</v>
      </c>
      <c r="K39" s="105"/>
      <c r="L39" s="105"/>
    </row>
    <row r="40" spans="1:12" ht="76.5" x14ac:dyDescent="0.25">
      <c r="A40" s="109"/>
      <c r="B40" s="94" t="s">
        <v>45</v>
      </c>
      <c r="C40" s="198">
        <f>'2020 смета ГЦ (2)'!F38</f>
        <v>100000</v>
      </c>
      <c r="D40" s="204">
        <v>94500</v>
      </c>
      <c r="E40" s="204"/>
      <c r="F40" s="204">
        <v>500</v>
      </c>
      <c r="G40" s="204"/>
      <c r="H40" s="210"/>
      <c r="I40" s="202">
        <f t="shared" si="5"/>
        <v>95000</v>
      </c>
      <c r="J40" s="207">
        <f t="shared" si="0"/>
        <v>5000</v>
      </c>
      <c r="K40" s="111" t="s">
        <v>183</v>
      </c>
      <c r="L40" s="111" t="s">
        <v>157</v>
      </c>
    </row>
    <row r="41" spans="1:12" ht="25.5" x14ac:dyDescent="0.25">
      <c r="A41" s="109"/>
      <c r="B41" s="93" t="s">
        <v>58</v>
      </c>
      <c r="C41" s="197">
        <f>'2020 смета ГЦ (2)'!F39</f>
        <v>440000</v>
      </c>
      <c r="D41" s="204">
        <v>0</v>
      </c>
      <c r="E41" s="203"/>
      <c r="F41" s="203"/>
      <c r="G41" s="208">
        <v>160303.5</v>
      </c>
      <c r="H41" s="209">
        <f>H43+H45</f>
        <v>279696.5</v>
      </c>
      <c r="I41" s="207">
        <f>D41+E41+F41+G41+H41</f>
        <v>440000</v>
      </c>
      <c r="J41" s="207">
        <f t="shared" si="0"/>
        <v>0</v>
      </c>
      <c r="K41" s="111"/>
      <c r="L41" s="111"/>
    </row>
    <row r="42" spans="1:12" ht="51" x14ac:dyDescent="0.25">
      <c r="A42" s="109"/>
      <c r="B42" s="93" t="s">
        <v>40</v>
      </c>
      <c r="C42" s="197">
        <f>'2020 смета ГЦ (2)'!F40</f>
        <v>120000</v>
      </c>
      <c r="D42" s="204"/>
      <c r="E42" s="204"/>
      <c r="F42" s="204"/>
      <c r="G42" s="204"/>
      <c r="H42" s="210">
        <f>H43</f>
        <v>0</v>
      </c>
      <c r="I42" s="202">
        <f>D42+E42+F42+G42+H42</f>
        <v>0</v>
      </c>
      <c r="J42" s="207">
        <f t="shared" si="0"/>
        <v>120000</v>
      </c>
      <c r="K42" s="105"/>
      <c r="L42" s="105"/>
    </row>
    <row r="43" spans="1:12" ht="76.5" x14ac:dyDescent="0.25">
      <c r="A43" s="109"/>
      <c r="B43" s="94" t="s">
        <v>90</v>
      </c>
      <c r="C43" s="198">
        <f>'2020 смета ГЦ (2)'!F41</f>
        <v>120000</v>
      </c>
      <c r="D43" s="204"/>
      <c r="E43" s="204"/>
      <c r="F43" s="204"/>
      <c r="G43" s="204"/>
      <c r="H43" s="210"/>
      <c r="I43" s="202">
        <f>D43+E43+F43+G43+H43</f>
        <v>0</v>
      </c>
      <c r="J43" s="207">
        <f t="shared" si="0"/>
        <v>120000</v>
      </c>
      <c r="K43" s="112" t="s">
        <v>184</v>
      </c>
      <c r="L43" s="111" t="s">
        <v>182</v>
      </c>
    </row>
    <row r="44" spans="1:12" ht="25.5" x14ac:dyDescent="0.25">
      <c r="A44" s="109"/>
      <c r="B44" s="93" t="s">
        <v>91</v>
      </c>
      <c r="C44" s="197">
        <f>'2020 смета ГЦ (2)'!F42</f>
        <v>320000</v>
      </c>
      <c r="D44" s="204">
        <v>0</v>
      </c>
      <c r="E44" s="203"/>
      <c r="F44" s="203"/>
      <c r="G44" s="203">
        <f>G45</f>
        <v>160303.5</v>
      </c>
      <c r="H44" s="211">
        <f>H45</f>
        <v>279696.5</v>
      </c>
      <c r="I44" s="202">
        <f>D44+E44+F44+G44+H44</f>
        <v>440000</v>
      </c>
      <c r="J44" s="207">
        <f t="shared" si="0"/>
        <v>-120000</v>
      </c>
      <c r="K44" s="105"/>
      <c r="L44" s="105"/>
    </row>
    <row r="45" spans="1:12" ht="89.25" x14ac:dyDescent="0.25">
      <c r="A45" s="109"/>
      <c r="B45" s="94" t="s">
        <v>66</v>
      </c>
      <c r="C45" s="198">
        <f>'2020 смета ГЦ (2)'!F43</f>
        <v>320000</v>
      </c>
      <c r="D45" s="204"/>
      <c r="E45" s="204"/>
      <c r="F45" s="204"/>
      <c r="G45" s="203">
        <v>160303.5</v>
      </c>
      <c r="H45" s="211">
        <f>159696.5+120000</f>
        <v>279696.5</v>
      </c>
      <c r="I45" s="202">
        <f>D45+E45+F45+G45+H45</f>
        <v>440000</v>
      </c>
      <c r="J45" s="207">
        <f t="shared" si="0"/>
        <v>-120000</v>
      </c>
      <c r="K45" s="112" t="s">
        <v>167</v>
      </c>
      <c r="L45" s="111"/>
    </row>
    <row r="46" spans="1:12" ht="63.75" x14ac:dyDescent="0.25">
      <c r="A46" s="109"/>
      <c r="B46" s="99" t="s">
        <v>14</v>
      </c>
      <c r="C46" s="194">
        <f>'2020 смета ГЦ (2)'!F44</f>
        <v>3846800.25</v>
      </c>
      <c r="D46" s="208">
        <v>1609857.84</v>
      </c>
      <c r="E46" s="205">
        <v>314347</v>
      </c>
      <c r="F46" s="208">
        <v>958942.35</v>
      </c>
      <c r="G46" s="208">
        <f>G11+G28</f>
        <v>480755.9</v>
      </c>
      <c r="H46" s="209">
        <f>H11+H28</f>
        <v>484085.35</v>
      </c>
      <c r="I46" s="212">
        <f>I11+I24+I28</f>
        <v>3847988.44</v>
      </c>
      <c r="J46" s="212">
        <f>J11+J28</f>
        <v>-1188.1899999999878</v>
      </c>
      <c r="K46" s="105"/>
      <c r="L46" s="111" t="s">
        <v>158</v>
      </c>
    </row>
    <row r="48" spans="1:12" x14ac:dyDescent="0.25">
      <c r="B48" s="133" t="s">
        <v>150</v>
      </c>
      <c r="C48" s="137"/>
      <c r="D48" s="129"/>
      <c r="E48" s="131"/>
      <c r="F48" s="131"/>
      <c r="G48" s="131"/>
      <c r="H48" s="132"/>
      <c r="I48" s="142"/>
      <c r="J48" s="145"/>
      <c r="K48"/>
      <c r="L48"/>
    </row>
    <row r="49" spans="2:13" x14ac:dyDescent="0.25">
      <c r="B49" s="133" t="s">
        <v>151</v>
      </c>
      <c r="C49" s="137"/>
      <c r="D49" s="129"/>
      <c r="E49" s="131"/>
      <c r="F49" s="131"/>
      <c r="G49" s="131"/>
      <c r="H49" s="132"/>
      <c r="I49" s="142"/>
      <c r="J49" s="141"/>
      <c r="K49"/>
      <c r="L49"/>
    </row>
    <row r="50" spans="2:13" x14ac:dyDescent="0.25">
      <c r="B50" s="133" t="s">
        <v>159</v>
      </c>
      <c r="C50" s="137"/>
      <c r="D50" s="129"/>
      <c r="E50" s="131"/>
      <c r="F50" s="131"/>
      <c r="G50" s="131"/>
      <c r="H50" s="132"/>
      <c r="I50" s="142"/>
      <c r="J50" s="141"/>
      <c r="K50"/>
      <c r="L50"/>
    </row>
    <row r="51" spans="2:13" x14ac:dyDescent="0.25">
      <c r="B51" s="133"/>
      <c r="C51" s="137"/>
      <c r="D51" s="129"/>
      <c r="E51" s="131"/>
      <c r="F51" s="131"/>
      <c r="G51" s="131" t="s">
        <v>152</v>
      </c>
      <c r="H51" s="132"/>
      <c r="I51" s="142"/>
      <c r="J51" s="141"/>
      <c r="K51"/>
      <c r="L51"/>
      <c r="M51" s="139"/>
    </row>
    <row r="52" spans="2:13" x14ac:dyDescent="0.25">
      <c r="B52" s="117"/>
      <c r="C52" s="136"/>
      <c r="D52" s="129"/>
      <c r="E52" s="131"/>
      <c r="F52" s="131"/>
      <c r="G52" s="131"/>
      <c r="H52" s="132"/>
      <c r="I52" s="142"/>
      <c r="J52" s="141"/>
      <c r="K52"/>
      <c r="L52"/>
      <c r="M52" s="139"/>
    </row>
    <row r="53" spans="2:13" x14ac:dyDescent="0.25">
      <c r="B53" s="135"/>
      <c r="C53" s="136"/>
      <c r="D53" s="129"/>
      <c r="E53" s="131"/>
      <c r="F53" s="131"/>
      <c r="G53" s="131"/>
      <c r="H53" s="132"/>
      <c r="I53" s="142"/>
      <c r="J53" s="141"/>
      <c r="K53"/>
      <c r="L53"/>
    </row>
    <row r="54" spans="2:13" x14ac:dyDescent="0.25">
      <c r="B54" s="117"/>
      <c r="C54" s="136"/>
      <c r="D54" s="129"/>
      <c r="E54" s="131"/>
      <c r="F54" s="131"/>
      <c r="G54" s="131"/>
      <c r="H54" s="132"/>
      <c r="I54" s="142"/>
      <c r="J54" s="141"/>
      <c r="K54"/>
      <c r="L54"/>
    </row>
    <row r="55" spans="2:13" x14ac:dyDescent="0.25">
      <c r="B55" s="135"/>
      <c r="C55" s="136"/>
      <c r="D55" s="129"/>
      <c r="E55" s="131"/>
      <c r="F55" s="131"/>
      <c r="G55" s="131"/>
      <c r="H55" s="132"/>
      <c r="I55" s="142"/>
      <c r="J55" s="141"/>
      <c r="K55"/>
      <c r="L55"/>
    </row>
    <row r="56" spans="2:13" x14ac:dyDescent="0.25">
      <c r="B56" s="117"/>
      <c r="C56" s="136"/>
      <c r="D56" s="129"/>
      <c r="E56" s="131"/>
      <c r="F56" s="131"/>
      <c r="G56" s="131"/>
      <c r="H56" s="132"/>
      <c r="I56" s="142"/>
      <c r="J56" s="141"/>
      <c r="K56"/>
      <c r="L56"/>
    </row>
    <row r="57" spans="2:13" x14ac:dyDescent="0.25">
      <c r="B57" s="135"/>
      <c r="C57" s="136"/>
      <c r="D57" s="129"/>
      <c r="E57" s="131"/>
      <c r="F57" s="131"/>
      <c r="G57" s="131"/>
      <c r="H57" s="132"/>
      <c r="I57" s="142"/>
      <c r="J57" s="141"/>
      <c r="K57"/>
      <c r="L57"/>
    </row>
    <row r="58" spans="2:13" x14ac:dyDescent="0.25">
      <c r="B58" s="136"/>
      <c r="C58" s="136"/>
      <c r="D58" s="129"/>
      <c r="E58" s="131"/>
      <c r="F58" s="131"/>
      <c r="G58" s="131"/>
      <c r="H58" s="132"/>
      <c r="I58" s="142"/>
      <c r="J58" s="141"/>
      <c r="K58"/>
      <c r="L58"/>
    </row>
    <row r="59" spans="2:13" x14ac:dyDescent="0.25">
      <c r="B59" s="136"/>
      <c r="C59" s="136"/>
      <c r="D59" s="129"/>
      <c r="E59" s="131"/>
      <c r="F59" s="131"/>
      <c r="G59" s="131"/>
      <c r="H59" s="132"/>
      <c r="I59" s="142"/>
      <c r="J59" s="141"/>
      <c r="K59"/>
      <c r="L59"/>
    </row>
    <row r="60" spans="2:13" x14ac:dyDescent="0.25">
      <c r="B60" s="136"/>
      <c r="C60" s="136"/>
      <c r="D60" s="129"/>
      <c r="E60" s="131"/>
      <c r="F60" s="131"/>
      <c r="G60" s="131"/>
      <c r="H60" s="132"/>
      <c r="I60" s="142"/>
      <c r="J60" s="141"/>
      <c r="K60"/>
      <c r="L60"/>
    </row>
    <row r="61" spans="2:13" x14ac:dyDescent="0.25">
      <c r="B61" s="136"/>
      <c r="C61" s="136"/>
      <c r="D61" s="129"/>
      <c r="E61" s="131"/>
      <c r="F61" s="131"/>
      <c r="G61" s="131"/>
      <c r="H61" s="132"/>
      <c r="I61" s="142"/>
      <c r="J61" s="141"/>
      <c r="K61"/>
      <c r="L61"/>
    </row>
  </sheetData>
  <mergeCells count="17">
    <mergeCell ref="N1:U1"/>
    <mergeCell ref="A5:L5"/>
    <mergeCell ref="A6:L6"/>
    <mergeCell ref="A4:L4"/>
    <mergeCell ref="A1:L1"/>
    <mergeCell ref="A2:L2"/>
    <mergeCell ref="K25:K27"/>
    <mergeCell ref="K36:K38"/>
    <mergeCell ref="A8:A9"/>
    <mergeCell ref="B8:B9"/>
    <mergeCell ref="C8:C9"/>
    <mergeCell ref="D8:D9"/>
    <mergeCell ref="E8:E9"/>
    <mergeCell ref="K8:K9"/>
    <mergeCell ref="F8:F9"/>
    <mergeCell ref="G8:G9"/>
    <mergeCell ref="I8:I9"/>
  </mergeCells>
  <pageMargins left="0.25" right="0.25" top="0.75" bottom="0.75" header="0.3" footer="0.3"/>
  <pageSetup paperSize="9" scale="74" fitToHeight="0" orientation="landscape" horizontalDpi="360" verticalDpi="360" r:id="rId1"/>
  <rowBreaks count="1" manualBreakCount="1">
    <brk id="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2020 смета ГЦ</vt:lpstr>
      <vt:lpstr>ЗП 2020</vt:lpstr>
      <vt:lpstr>2020 смета ГЦ (2)</vt:lpstr>
      <vt:lpstr>Отчет №1</vt:lpstr>
      <vt:lpstr>Отчет №2 (2)</vt:lpstr>
      <vt:lpstr>Отчет №3</vt:lpstr>
      <vt:lpstr>Отчет №4</vt:lpstr>
      <vt:lpstr>Отчет №5</vt:lpstr>
      <vt:lpstr>'2020 смета ГЦ'!Область_печати</vt:lpstr>
      <vt:lpstr>'2020 смета ГЦ (2)'!Область_печати</vt:lpstr>
      <vt:lpstr>'Отчет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2020-12-28T04:49:36Z</dcterms:modified>
</cp:coreProperties>
</file>