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Загрузки\"/>
    </mc:Choice>
  </mc:AlternateContent>
  <xr:revisionPtr revIDLastSave="0" documentId="13_ncr:1_{EF41BAE8-0999-43A8-A725-1EC693A74FBD}" xr6:coauthVersionLast="45" xr6:coauthVersionMax="45" xr10:uidLastSave="{00000000-0000-0000-0000-000000000000}"/>
  <bookViews>
    <workbookView xWindow="-120" yWindow="-120" windowWidth="20730" windowHeight="11160" xr2:uid="{00000000-000D-0000-FFFF-FFFF00000000}"/>
  </bookViews>
  <sheets>
    <sheet name="Лист1" sheetId="1" r:id="rId1"/>
  </sheets>
  <definedNames>
    <definedName name="_xlnm.Print_Titles" localSheetId="0">Лист1!$8:$8</definedName>
    <definedName name="_xlnm.Print_Area" localSheetId="0">Лист1!$A$1:$I$154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E17" i="1"/>
  <c r="E16" i="1"/>
  <c r="E15" i="1"/>
  <c r="E14" i="1"/>
  <c r="E13" i="1"/>
  <c r="E12" i="1"/>
  <c r="G26" i="1" l="1"/>
  <c r="G34" i="1"/>
  <c r="G38" i="1"/>
  <c r="G46" i="1"/>
  <c r="G54" i="1"/>
  <c r="G58" i="1"/>
  <c r="G62" i="1"/>
  <c r="G66" i="1"/>
  <c r="G74" i="1"/>
  <c r="G82" i="1"/>
  <c r="G86" i="1"/>
  <c r="G90" i="1"/>
  <c r="G94" i="1"/>
  <c r="G98" i="1"/>
  <c r="G102" i="1"/>
  <c r="G106" i="1"/>
  <c r="G110" i="1"/>
  <c r="G126" i="1"/>
  <c r="G130" i="1"/>
  <c r="G134" i="1"/>
  <c r="G142" i="1"/>
  <c r="F19" i="1"/>
  <c r="G19" i="1" s="1"/>
  <c r="F20" i="1"/>
  <c r="G20" i="1" s="1"/>
  <c r="F23" i="1"/>
  <c r="G23" i="1" s="1"/>
  <c r="F24" i="1"/>
  <c r="G24" i="1" s="1"/>
  <c r="F26" i="1"/>
  <c r="F27" i="1"/>
  <c r="G27" i="1" s="1"/>
  <c r="F28" i="1"/>
  <c r="G28" i="1" s="1"/>
  <c r="F31" i="1"/>
  <c r="G31" i="1" s="1"/>
  <c r="F33" i="1"/>
  <c r="G33" i="1" s="1"/>
  <c r="F34" i="1"/>
  <c r="F35" i="1"/>
  <c r="G35" i="1" s="1"/>
  <c r="F37" i="1"/>
  <c r="G37" i="1" s="1"/>
  <c r="F38" i="1"/>
  <c r="F39" i="1"/>
  <c r="G39" i="1" s="1"/>
  <c r="F40" i="1"/>
  <c r="G40" i="1" s="1"/>
  <c r="F41" i="1"/>
  <c r="G41" i="1" s="1"/>
  <c r="F43" i="1"/>
  <c r="G43" i="1" s="1"/>
  <c r="F44" i="1"/>
  <c r="G44" i="1" s="1"/>
  <c r="F45" i="1"/>
  <c r="G45" i="1" s="1"/>
  <c r="F46" i="1"/>
  <c r="F54" i="1"/>
  <c r="F58" i="1"/>
  <c r="F59" i="1"/>
  <c r="G59" i="1" s="1"/>
  <c r="F61" i="1"/>
  <c r="G61" i="1" s="1"/>
  <c r="F62" i="1"/>
  <c r="F63" i="1"/>
  <c r="G63" i="1" s="1"/>
  <c r="F66" i="1"/>
  <c r="F67" i="1"/>
  <c r="G67" i="1" s="1"/>
  <c r="F68" i="1"/>
  <c r="G68" i="1" s="1"/>
  <c r="F69" i="1"/>
  <c r="G69" i="1" s="1"/>
  <c r="F73" i="1"/>
  <c r="G73" i="1" s="1"/>
  <c r="F74" i="1"/>
  <c r="F76" i="1"/>
  <c r="G76" i="1" s="1"/>
  <c r="F77" i="1"/>
  <c r="G77" i="1" s="1"/>
  <c r="F81" i="1"/>
  <c r="G81" i="1" s="1"/>
  <c r="F82" i="1"/>
  <c r="F83" i="1"/>
  <c r="G83" i="1" s="1"/>
  <c r="F85" i="1"/>
  <c r="G85" i="1" s="1"/>
  <c r="F86" i="1"/>
  <c r="F88" i="1"/>
  <c r="G88" i="1" s="1"/>
  <c r="F89" i="1"/>
  <c r="G89" i="1" s="1"/>
  <c r="F90" i="1"/>
  <c r="F91" i="1"/>
  <c r="G91" i="1" s="1"/>
  <c r="F94" i="1"/>
  <c r="F95" i="1"/>
  <c r="G95" i="1" s="1"/>
  <c r="F96" i="1"/>
  <c r="G96" i="1" s="1"/>
  <c r="F97" i="1"/>
  <c r="G97" i="1" s="1"/>
  <c r="F98" i="1"/>
  <c r="F101" i="1"/>
  <c r="G101" i="1" s="1"/>
  <c r="F102" i="1"/>
  <c r="F103" i="1"/>
  <c r="G103" i="1" s="1"/>
  <c r="F104" i="1"/>
  <c r="G104" i="1" s="1"/>
  <c r="F105" i="1"/>
  <c r="G105" i="1" s="1"/>
  <c r="F106" i="1"/>
  <c r="F107" i="1"/>
  <c r="G107" i="1" s="1"/>
  <c r="F109" i="1"/>
  <c r="G109" i="1" s="1"/>
  <c r="F110" i="1"/>
  <c r="F116" i="1"/>
  <c r="G116" i="1" s="1"/>
  <c r="F119" i="1"/>
  <c r="G119" i="1" s="1"/>
  <c r="F123" i="1"/>
  <c r="G123" i="1" s="1"/>
  <c r="F124" i="1"/>
  <c r="G124" i="1" s="1"/>
  <c r="F125" i="1"/>
  <c r="G125" i="1" s="1"/>
  <c r="F126" i="1"/>
  <c r="F127" i="1"/>
  <c r="G127" i="1" s="1"/>
  <c r="F128" i="1"/>
  <c r="G128" i="1" s="1"/>
  <c r="F130" i="1"/>
  <c r="F131" i="1"/>
  <c r="G131" i="1" s="1"/>
  <c r="F133" i="1"/>
  <c r="G133" i="1" s="1"/>
  <c r="F134" i="1"/>
  <c r="F135" i="1"/>
  <c r="G135" i="1" s="1"/>
  <c r="F136" i="1"/>
  <c r="G136" i="1" s="1"/>
  <c r="F139" i="1"/>
  <c r="G139" i="1" s="1"/>
  <c r="F140" i="1"/>
  <c r="G140" i="1" s="1"/>
  <c r="F142" i="1"/>
  <c r="E11" i="1"/>
  <c r="E84" i="1"/>
  <c r="F84" i="1" s="1"/>
  <c r="G84" i="1" s="1"/>
  <c r="E19" i="1"/>
  <c r="E79" i="1" l="1"/>
  <c r="E78" i="1" s="1"/>
  <c r="E72" i="1"/>
  <c r="E71" i="1" s="1"/>
  <c r="D13" i="1"/>
  <c r="F13" i="1" s="1"/>
  <c r="G13" i="1" s="1"/>
  <c r="E32" i="1"/>
  <c r="E22" i="1"/>
  <c r="F22" i="1" s="1"/>
  <c r="G22" i="1" s="1"/>
  <c r="E30" i="1"/>
  <c r="F30" i="1" s="1"/>
  <c r="G30" i="1" s="1"/>
  <c r="E138" i="1"/>
  <c r="E137" i="1" s="1"/>
  <c r="E132" i="1"/>
  <c r="E121" i="1" s="1"/>
  <c r="E29" i="1" l="1"/>
  <c r="E10" i="1" s="1"/>
  <c r="E93" i="1"/>
  <c r="E92" i="1" s="1"/>
  <c r="E48" i="1" s="1"/>
  <c r="E143" i="1" l="1"/>
  <c r="D12" i="1"/>
  <c r="F12" i="1" s="1"/>
  <c r="G12" i="1" s="1"/>
  <c r="D52" i="1" l="1"/>
  <c r="F52" i="1" s="1"/>
  <c r="G52" i="1" s="1"/>
  <c r="D55" i="1" l="1"/>
  <c r="F55" i="1" s="1"/>
  <c r="G55" i="1" s="1"/>
  <c r="D53" i="1"/>
  <c r="F53" i="1" s="1"/>
  <c r="G53" i="1" s="1"/>
  <c r="D51" i="1"/>
  <c r="F51" i="1" s="1"/>
  <c r="G51" i="1" s="1"/>
  <c r="D56" i="1" l="1"/>
  <c r="D50" i="1" l="1"/>
  <c r="F50" i="1" s="1"/>
  <c r="F56" i="1"/>
  <c r="G56" i="1" s="1"/>
  <c r="D18" i="1"/>
  <c r="F18" i="1" s="1"/>
  <c r="G18" i="1" s="1"/>
  <c r="D17" i="1" l="1"/>
  <c r="F17" i="1" s="1"/>
  <c r="G17" i="1" s="1"/>
  <c r="D16" i="1"/>
  <c r="F16" i="1" s="1"/>
  <c r="G16" i="1" s="1"/>
  <c r="D15" i="1"/>
  <c r="F15" i="1" s="1"/>
  <c r="G15" i="1" s="1"/>
  <c r="D14" i="1"/>
  <c r="F14" i="1" s="1"/>
  <c r="G14" i="1" s="1"/>
  <c r="D75" i="1" l="1"/>
  <c r="F75" i="1" s="1"/>
  <c r="G75" i="1" s="1"/>
  <c r="D80" i="1" l="1"/>
  <c r="F80" i="1" s="1"/>
  <c r="G80" i="1" s="1"/>
  <c r="D114" i="1" l="1"/>
  <c r="F114" i="1" s="1"/>
  <c r="G114" i="1" s="1"/>
  <c r="D115" i="1"/>
  <c r="F115" i="1" s="1"/>
  <c r="G115" i="1" s="1"/>
  <c r="D113" i="1" l="1"/>
  <c r="F113" i="1" s="1"/>
  <c r="D120" i="1"/>
  <c r="F120" i="1" s="1"/>
  <c r="G120" i="1" s="1"/>
  <c r="D21" i="1"/>
  <c r="F21" i="1" s="1"/>
  <c r="G21" i="1" s="1"/>
  <c r="D112" i="1"/>
  <c r="F112" i="1" s="1"/>
  <c r="G112" i="1" s="1"/>
  <c r="D70" i="1"/>
  <c r="F70" i="1" s="1"/>
  <c r="G70" i="1" s="1"/>
  <c r="D87" i="1"/>
  <c r="D42" i="1"/>
  <c r="F42" i="1" s="1"/>
  <c r="G42" i="1" s="1"/>
  <c r="D47" i="1"/>
  <c r="F47" i="1" s="1"/>
  <c r="G47" i="1" s="1"/>
  <c r="D57" i="1"/>
  <c r="F57" i="1" s="1"/>
  <c r="D60" i="1"/>
  <c r="F60" i="1" s="1"/>
  <c r="D25" i="1"/>
  <c r="F25" i="1" s="1"/>
  <c r="G25" i="1" s="1"/>
  <c r="D29" i="1"/>
  <c r="F29" i="1" s="1"/>
  <c r="G29" i="1" s="1"/>
  <c r="D32" i="1"/>
  <c r="F32" i="1" s="1"/>
  <c r="G32" i="1" s="1"/>
  <c r="C141" i="1"/>
  <c r="C138" i="1"/>
  <c r="C132" i="1"/>
  <c r="C129" i="1"/>
  <c r="C122" i="1"/>
  <c r="C118" i="1"/>
  <c r="C113" i="1"/>
  <c r="G113" i="1" s="1"/>
  <c r="C111" i="1"/>
  <c r="C108" i="1"/>
  <c r="C100" i="1"/>
  <c r="C93" i="1"/>
  <c r="C79" i="1"/>
  <c r="C72" i="1"/>
  <c r="C65" i="1"/>
  <c r="C60" i="1"/>
  <c r="G60" i="1" s="1"/>
  <c r="C57" i="1"/>
  <c r="G57" i="1" s="1"/>
  <c r="C50" i="1"/>
  <c r="G50" i="1" s="1"/>
  <c r="C36" i="1"/>
  <c r="C11" i="1"/>
  <c r="C10" i="1" s="1"/>
  <c r="C64" i="1" l="1"/>
  <c r="C117" i="1"/>
  <c r="C92" i="1"/>
  <c r="D79" i="1"/>
  <c r="F87" i="1"/>
  <c r="G87" i="1" s="1"/>
  <c r="C78" i="1"/>
  <c r="D49" i="1"/>
  <c r="F49" i="1" s="1"/>
  <c r="D36" i="1"/>
  <c r="F36" i="1" s="1"/>
  <c r="G36" i="1" s="1"/>
  <c r="C49" i="1"/>
  <c r="G49" i="1" s="1"/>
  <c r="C71" i="1"/>
  <c r="C121" i="1"/>
  <c r="C137" i="1"/>
  <c r="C99" i="1"/>
  <c r="D78" i="1" l="1"/>
  <c r="F78" i="1" s="1"/>
  <c r="F79" i="1"/>
  <c r="G79" i="1" s="1"/>
  <c r="G78" i="1"/>
  <c r="C48" i="1"/>
  <c r="D65" i="1"/>
  <c r="F65" i="1" s="1"/>
  <c r="G65" i="1" s="1"/>
  <c r="D141" i="1"/>
  <c r="F141" i="1" s="1"/>
  <c r="G141" i="1" s="1"/>
  <c r="D138" i="1"/>
  <c r="F138" i="1" s="1"/>
  <c r="G138" i="1" s="1"/>
  <c r="D122" i="1"/>
  <c r="F122" i="1" s="1"/>
  <c r="G122" i="1" s="1"/>
  <c r="D132" i="1"/>
  <c r="F132" i="1" s="1"/>
  <c r="G132" i="1" s="1"/>
  <c r="D129" i="1"/>
  <c r="F129" i="1" s="1"/>
  <c r="G129" i="1" s="1"/>
  <c r="D118" i="1"/>
  <c r="F118" i="1" s="1"/>
  <c r="G118" i="1" s="1"/>
  <c r="D111" i="1"/>
  <c r="F111" i="1" s="1"/>
  <c r="G111" i="1" s="1"/>
  <c r="D108" i="1"/>
  <c r="F108" i="1" s="1"/>
  <c r="G108" i="1" s="1"/>
  <c r="D100" i="1"/>
  <c r="F100" i="1" s="1"/>
  <c r="G100" i="1" s="1"/>
  <c r="D93" i="1"/>
  <c r="F93" i="1" s="1"/>
  <c r="G93" i="1" s="1"/>
  <c r="D117" i="1" l="1"/>
  <c r="F117" i="1" s="1"/>
  <c r="G117" i="1" s="1"/>
  <c r="D92" i="1"/>
  <c r="F92" i="1" s="1"/>
  <c r="G92" i="1" s="1"/>
  <c r="D121" i="1"/>
  <c r="F121" i="1" s="1"/>
  <c r="G121" i="1" s="1"/>
  <c r="D64" i="1"/>
  <c r="F64" i="1" s="1"/>
  <c r="G64" i="1" s="1"/>
  <c r="D137" i="1"/>
  <c r="F137" i="1" s="1"/>
  <c r="G137" i="1" s="1"/>
  <c r="D99" i="1"/>
  <c r="F99" i="1" s="1"/>
  <c r="G99" i="1" s="1"/>
  <c r="D72" i="1" l="1"/>
  <c r="F72" i="1" s="1"/>
  <c r="G72" i="1" s="1"/>
  <c r="D11" i="1" l="1"/>
  <c r="D71" i="1"/>
  <c r="D48" i="1" l="1"/>
  <c r="F48" i="1" s="1"/>
  <c r="G48" i="1" s="1"/>
  <c r="F71" i="1"/>
  <c r="G71" i="1" s="1"/>
  <c r="D10" i="1"/>
  <c r="F10" i="1" s="1"/>
  <c r="G10" i="1" s="1"/>
  <c r="F11" i="1"/>
  <c r="G11" i="1" s="1"/>
  <c r="D143" i="1" l="1"/>
  <c r="F143" i="1" s="1"/>
  <c r="G143" i="1" s="1"/>
</calcChain>
</file>

<file path=xl/sharedStrings.xml><?xml version="1.0" encoding="utf-8"?>
<sst xmlns="http://schemas.openxmlformats.org/spreadsheetml/2006/main" count="252" uniqueCount="202">
  <si>
    <t>№</t>
  </si>
  <si>
    <t>Смета расходов</t>
  </si>
  <si>
    <t>Контрагент, дата и номер документа</t>
  </si>
  <si>
    <t>Административные затраты:</t>
  </si>
  <si>
    <t>Заработная плата, в том числе:</t>
  </si>
  <si>
    <t>Руководитель проекта</t>
  </si>
  <si>
    <t>Бухгалтер</t>
  </si>
  <si>
    <t>Специалист по связям с общественностью</t>
  </si>
  <si>
    <t>Психолог</t>
  </si>
  <si>
    <t>Юрист</t>
  </si>
  <si>
    <t>Социальный работник</t>
  </si>
  <si>
    <t>Социальный налог и социальные отчисления</t>
  </si>
  <si>
    <t>Обязательное социальное медицинское страхование</t>
  </si>
  <si>
    <t>Банковские услуги</t>
  </si>
  <si>
    <t>Расходы на оплату услуг связи</t>
  </si>
  <si>
    <t>Почтовые услуги</t>
  </si>
  <si>
    <t>Расходные материалы, приобретение товаров, необходимых для обслуживания и содержания основных средств и другие запасы, в том числе:</t>
  </si>
  <si>
    <t>Канцелярские товары</t>
  </si>
  <si>
    <t>Коврики для компьютерной мышки</t>
  </si>
  <si>
    <t>Флешнакопители</t>
  </si>
  <si>
    <t>Прочие расходы, в том числе:</t>
  </si>
  <si>
    <t>Услуги по содержанию и обслуживанию ОС</t>
  </si>
  <si>
    <t>Услуги по обслуживанию по 1С:Бухгалтерия</t>
  </si>
  <si>
    <t>Музыкальный центр</t>
  </si>
  <si>
    <t>Компьютер стационарный</t>
  </si>
  <si>
    <t>Смартфон</t>
  </si>
  <si>
    <t>Видеокамера</t>
  </si>
  <si>
    <t>Стулья офисные</t>
  </si>
  <si>
    <t>Стеллажи</t>
  </si>
  <si>
    <t>Столы</t>
  </si>
  <si>
    <t>Модульный диван</t>
  </si>
  <si>
    <t>Шкаф</t>
  </si>
  <si>
    <t>Кресла офисные</t>
  </si>
  <si>
    <t>Прямые расходы:</t>
  </si>
  <si>
    <t>Расходы на служебные командировки, в том числе:</t>
  </si>
  <si>
    <t>Транспортные расходы в три региона</t>
  </si>
  <si>
    <t>Приобретение раздаточных материалов, в том числе:</t>
  </si>
  <si>
    <t>Папки</t>
  </si>
  <si>
    <t>Мероприятие 2. Подготовка к освобождению осужденных из числа молодёжи</t>
  </si>
  <si>
    <t>Приобретение раздаточного материала</t>
  </si>
  <si>
    <t>Блокноты</t>
  </si>
  <si>
    <t>Флипчарт</t>
  </si>
  <si>
    <t>Маркеры</t>
  </si>
  <si>
    <t>Бумага А4</t>
  </si>
  <si>
    <t>Транспортные услуги</t>
  </si>
  <si>
    <t>Услуги координатора</t>
  </si>
  <si>
    <t>Услуги психолога</t>
  </si>
  <si>
    <t>Услуги социального работника</t>
  </si>
  <si>
    <t>Услуги по проведению публикаций в СМИ и социальных сетях</t>
  </si>
  <si>
    <t>Услуги переводчика</t>
  </si>
  <si>
    <t>Услуги по организации досугового мероприятия</t>
  </si>
  <si>
    <t>Мероприятие 6. Проведение экологического десанта</t>
  </si>
  <si>
    <t>Приобретение расходного материала, в том числе:</t>
  </si>
  <si>
    <t>Перчатки</t>
  </si>
  <si>
    <t>Мешки</t>
  </si>
  <si>
    <t>Грабли</t>
  </si>
  <si>
    <t>Лопаты</t>
  </si>
  <si>
    <t>Метлы</t>
  </si>
  <si>
    <t>Специальная одежда</t>
  </si>
  <si>
    <t>Кепки с логотипами</t>
  </si>
  <si>
    <t>Услуги транспорта по вывозу мусора</t>
  </si>
  <si>
    <t>Изготовление грамот</t>
  </si>
  <si>
    <t>Приобретение ценных призов, в том числе:</t>
  </si>
  <si>
    <t>Призы</t>
  </si>
  <si>
    <t>Транспортные расходы</t>
  </si>
  <si>
    <t>Мероприятие 7. Изготовление и печать информационно ознакомительных материалов в том числе</t>
  </si>
  <si>
    <t>Услуги по разработке макетов ИОМ</t>
  </si>
  <si>
    <t>Услуги по изготовлению ИОМ</t>
  </si>
  <si>
    <t>Благодарственные письма</t>
  </si>
  <si>
    <t>Мероприятие 9. Проведение круглого стола по итогам проекта</t>
  </si>
  <si>
    <t>Услуги по изготовлению аналитической справки</t>
  </si>
  <si>
    <t>Вода</t>
  </si>
  <si>
    <t>Грантополучатель: Общественный Фонд «Антарес А»</t>
  </si>
  <si>
    <t>Тема гранта: «Комплекс консультационных услуг для молодёжи, освободтвшейся из мест лишения свободы»</t>
  </si>
  <si>
    <t>Сумма гранта: 22 017 000 (двадцать два миллиона семнадцать тысяч) тенге</t>
  </si>
  <si>
    <t xml:space="preserve">Общее количество страниц отчета: _____________ </t>
  </si>
  <si>
    <t>Руководитель организации _____________</t>
  </si>
  <si>
    <t>Бухгалтер организации _____________</t>
  </si>
  <si>
    <t>Дата:</t>
  </si>
  <si>
    <t xml:space="preserve">М.П. </t>
  </si>
  <si>
    <t>ТОО "1С-Рейтинг" Счет на опл №ЦБ-4038 от 15.06.20, сч/фактура №4257 от 16.06.20, п/п 192 от 16.06.20</t>
  </si>
  <si>
    <t>ТОО "1С-Рейтинг" Договор №ВЦ-8689 от 15.06.20 Счет на опл №ЦБ-4044 от 15.06.20, сч/фактура №4391 от 16.06.20, п/п 193 от 16.06.20</t>
  </si>
  <si>
    <t>ИП Тен Л.Н. Счет на оплату "34 от 18.06.20 , акт вып работ 33 от 18.06.20, сч/ф №31 от 18.06.20</t>
  </si>
  <si>
    <t>экономия средств</t>
  </si>
  <si>
    <t>ТОО "Верделит" Сч на опл №136 от 19.06.20, сч/фактура №429 от 09.07.20, накладная 425 от 09.07.20, п/п №202 от 19.06.20</t>
  </si>
  <si>
    <t>ИП Грушковский А.А. Счёт на опл №10 от 27.07.20, сч/ф № 10 от 27.07.20, накладная №10 от 27.07.20</t>
  </si>
  <si>
    <t>ИП Грушковский А.А. Гарантийное письмо от 10.07.20, сч/ф № 12 от 29.07.20, накладная №12 от 29.07.20</t>
  </si>
  <si>
    <t>ИП Грушковский А.А. Счёт на опл №09 от 27.07.20, сч/ф № 09 от 27.07.20, накладная №09 от 27.07.20</t>
  </si>
  <si>
    <t>ИП Грушковский А.А. Счёт на опл №21 от 13.08.20, сч/ф № 21 от 13.08.20, накладная №21 от 13.08.20, п/п 316 от 13.08.20</t>
  </si>
  <si>
    <t>Дак В.С.  Приказ № 08 от 19.06.20,  Командир удостоверение №01 от 19.06.20, Ав отчёт №4 от 29.06.20, п/п №208 от 29.06.20</t>
  </si>
  <si>
    <t>ИП Грушковский А.А. Счёт на опл №03 от 15.07.20, сч/ф № 04 от 15.07.20, акт вып работ №04 от 15.07.20</t>
  </si>
  <si>
    <t>ИП ГрушковскийА.А. Накладная №33 от 12.09.20, сч/ф 33 от 12.09.20 п/п №370 от 11.09.20 , п/п №493 от 23.10.20</t>
  </si>
  <si>
    <t>ИП Грушковский А.А. акт вып работ 37 от 17.09.20 П/П №392 от 16.09.20</t>
  </si>
  <si>
    <t xml:space="preserve">ИП Грушковский А.А. Счёт на опл №29 от 25.08.20 , Сч/ф№ 29 от 26.08.20, накладная №29 от 26.08.20                 Накладная от 25.09.20, сч/ф от 25.09.20 п/п №401 от 23.09.20                           </t>
  </si>
  <si>
    <t>ИП Грушковский А.А. Наклпдная от 01.10.20, сч/ф от 01.10.20, п/п№435 от 30.09.20</t>
  </si>
  <si>
    <t xml:space="preserve">   Ав отчет №8 от 05.10.20 Дак В.С., п/п 3443 от 30.09.20</t>
  </si>
  <si>
    <t>Ав отчёт №9 от 05.10.20 Павлицкая  п/п №442 от 30.09.20  Ав отчет №8 от 05.10.20 Дак В.С. п/п №444 от 30.09.20</t>
  </si>
  <si>
    <t>ИП Грушковский А.А. Накладная 35 от 12.09.20, Сч/ф 35 от 12.09.20 п/п №371 от 11.09.20   Накладная от 01.10.20 , сч/ф от 30.09.20, п/п №439 от 30.09.20</t>
  </si>
  <si>
    <t>ИП Меркульева Л.С. Акт вып работ от 05.10.20, сч/ф от 05.10.20 п/п№441</t>
  </si>
  <si>
    <t>ИП Грушковский А.А. акт вып работ  от 01.10.20 П/П №440 от 30.09.20</t>
  </si>
  <si>
    <t>ИП Жан Акт вып работ от 01.10.20, сч/ф от 01.10.20, п/п №</t>
  </si>
  <si>
    <t>ИП Молчанова О.Н. Акт вып работ от 02.10.20, сч/ф от 02.10.20, п/п 451 от 01.10.21</t>
  </si>
  <si>
    <t>ИП Аманбаев А.Т. Договор №63-20 от 01.07.20 , Акт вып работ №15 от 31.07.20, Сч/ф №13 от 31.07.20, п/п №303 от04.08.20            ИП Аманбаев Договор б/н от 01.09.20 Акт выполненных работ 16 от 31.08.20, Сч/ф№14 от 31.08.20  Акт вып работ от 22.09.20 п/п №368 от 07.09.20      Акт вып работ 17 от 23.10.20. сч/ф 17 от 2.10.20 п/п 450 от 01.10.20</t>
  </si>
  <si>
    <t>ИП Молчанова О.Н. Акт вып работ от 02.10.20, сч/ф от 02.10.20, п/п 452 от 01.10.22</t>
  </si>
  <si>
    <t>ТОО "Медецинский центр диагностики и консультации г Павлодара" п/п 472 от 20.10.20</t>
  </si>
  <si>
    <t>ИП Жайляубаева Г.М. Договор б/н от 30.07.20г , Акт вып работ 20 от 20.08.20, сч/ф №20 от 20.08.20 , п/п №317 от 14.08.20  Акт вып раб     п/п №362 от 03.09.20, Акт вып работ   п/п №366 от 04. 09 20, Акт вып работ   п/п№369 от 08.09.20, Акт вып работ от 30.09.20 п/п 402 от 23.09.20,      п/п №471 от 20.10.20, п/п 471 от 20.10.20</t>
  </si>
  <si>
    <t>сумма (3+4)</t>
  </si>
  <si>
    <t>остаток (2-5)</t>
  </si>
  <si>
    <t>Причины не освоенных грантовых средства</t>
  </si>
  <si>
    <t>Статья расходов</t>
  </si>
  <si>
    <t>отчет № 1</t>
  </si>
  <si>
    <t>отчет № 2</t>
  </si>
  <si>
    <t>Коммунальные услуги и (или) эксплуатационные расходы</t>
  </si>
  <si>
    <t>Расходы на оплату аренды за помещения в городе Алтай (38 кв. м. * 1 711 тенге)</t>
  </si>
  <si>
    <t>Расходы на служебные командировки в г. Нур-Султан, в том числе:</t>
  </si>
  <si>
    <t>Суточные (1 командировка *2 человек * 3 дня)</t>
  </si>
  <si>
    <t>Проживание (1 командировка *2 человек * 2 дня)</t>
  </si>
  <si>
    <t>Проезд (1 командировка * 2 человек * 2 билета)</t>
  </si>
  <si>
    <t>Материально-техническое обеспечение:</t>
  </si>
  <si>
    <t>1С: Бухгалтерия</t>
  </si>
  <si>
    <t>Меропритяие 1. Проведение рабочих встреч</t>
  </si>
  <si>
    <t>Суточные Карагандинская область (1 командировка * 2 человека * 3 дня)</t>
  </si>
  <si>
    <t>Проживание Карагандинская область (1 командировка * 2 человека * 2 дня)</t>
  </si>
  <si>
    <t>Суточные Павлодарская область (1 командировка * 2 человека * 3 дня)</t>
  </si>
  <si>
    <t>Проживание Павлодарская область (1 командировка * 2 человека * 2 дня)</t>
  </si>
  <si>
    <t>Суточные Костанайская область (1 командировка * 2 человека * 5 дня)</t>
  </si>
  <si>
    <t>Проживание Костанайская область (1 командировка * 2 человека * 4 дня)</t>
  </si>
  <si>
    <t>Расходы по оплате работ и услуг  оказываемых юридическими и физическими лицами, в том числе:</t>
  </si>
  <si>
    <t>Услуги аренды зала (1 день)</t>
  </si>
  <si>
    <t xml:space="preserve">Ручки </t>
  </si>
  <si>
    <t>Мероприятие 3. Обеспечение местом временного пребывания</t>
  </si>
  <si>
    <t>Услуги аренды жилья Восточно-Казахстанская область</t>
  </si>
  <si>
    <t>Услуги аренды жилья Карагандинская область</t>
  </si>
  <si>
    <t>Услуги аренды жилья Павлодарская область</t>
  </si>
  <si>
    <t>Услуги аренды жилья Костанайская область</t>
  </si>
  <si>
    <t>Мероприятие 4. Комплекс консультационных услуг для молодёжи, освободившейся из мест лишения свободы</t>
  </si>
  <si>
    <t xml:space="preserve">Услуги юриста </t>
  </si>
  <si>
    <t>Услуга медицинских учреждений (справка-086), анализы</t>
  </si>
  <si>
    <t>Услуга по социально-бытовому обеспечению первичных нужд освободившихся из мест лишения освободы</t>
  </si>
  <si>
    <t xml:space="preserve">Услуга по профессиональному обучению </t>
  </si>
  <si>
    <t>Услуги изготовления призов для спортивных мероприятий (20 человек)</t>
  </si>
  <si>
    <t xml:space="preserve">Услуга по изготовлению баннера </t>
  </si>
  <si>
    <t xml:space="preserve">Мероприятие 5. Проведение профилактических мероприятий в учебных заведениях </t>
  </si>
  <si>
    <t>Приобретение раздаточного материала, в том числе:</t>
  </si>
  <si>
    <t>Расходы на служебные командировки, в точ числе:</t>
  </si>
  <si>
    <t>Мероприятие 8. Проведение заключительных рабочих встреч</t>
  </si>
  <si>
    <t>Услуги аренды (1 день)</t>
  </si>
  <si>
    <t>Приобретение раздаточных материалов, в том числе</t>
  </si>
  <si>
    <t>Представительские расходы, в том числе:</t>
  </si>
  <si>
    <t>Итого:</t>
  </si>
  <si>
    <t>ИП Молчанов О.Н , Сч/фактура №15 от 01.10.20, акт вып работ 15 от 01.10.20 П/П 438 от 30.09.20</t>
  </si>
  <si>
    <t xml:space="preserve"> </t>
  </si>
  <si>
    <t>Табель учёта рабочего времени за июнь-октябрь ,РПВ июнь-октябрь  начисления за октябрьМатунов Е.А. Приказ №05 от 03.01.20, Туд договор №05 от 03.01.20, РПВ №01 от 30.06.20, з/пл за июнь 20, п/п №228 от 01.07.20 ИПН за июнь 2020 в сумме 14256 тенге, п/п№247 от 15.07.20   РПВ №02 от 30.07.20, з/пл п/п №292 от 30.07.20 , ИПН за июль 2020 п/п№324 от 19.08.20,                                                   з/пл за август 20 п/п №357 от 28.08.20 ВОСМС за август 20 п/п 407 от 24/09/20,  ОПВ за август 2020 п/п 411 от 24.09.20   ИПН за август 2020 п/п 410 от 24.09.20 з/пл за сентябрь 2020 п/п №449 от 01.10.20 ВОСМС за сентябрь п/п №483 от 23.10.20  ОПВ за сентябрь п/п 487 от 23.10.20 ИПН за сентябрь п/п 485 от 23.10.20</t>
  </si>
  <si>
    <t>ТОО "Верделит" Сч на опл №135 от 19.06.20, сч/фактура №429 от 09.07.20, накладная 428 от 09.07.20, п/п №201 от 19.06.20, ИП Грушковский А.А. Наклпдная от 01.10.20, сч/ф от 01.10.20, п/п№435 от 30.09.20</t>
  </si>
  <si>
    <t xml:space="preserve"> Ав отчет Дак В.С. От 17.09.20 п/п 393 от 16.09.20</t>
  </si>
  <si>
    <t>ИП Молчанов О.Н , Сч/фактура №7 от 28.06.20, акт вып/работ 7 от 28.06.20, п/п №196 от 18.06.20</t>
  </si>
  <si>
    <t>оптимизация средств в бюджет</t>
  </si>
  <si>
    <t>Дак В.С.  Приказ №08 от 20.06.20 ,  Командир удостоверение01 от 20.06.20  Ав отчёт №1 от 29.06.20, п/п №198 от 19.06.20</t>
  </si>
  <si>
    <t>проживание в гостинице с 25.06.20-27.06.20, что составляет 2 сутки</t>
  </si>
  <si>
    <t>остаток средств будет оптимизирован в бюджет</t>
  </si>
  <si>
    <t>Договор б/н  от 01.07.20 Савельева Т.В., Договор б/н от 01.07.20Орлова Ю.Ю., Договор 20.07.20 Жолдыбаева А.М.</t>
  </si>
  <si>
    <t>Дак В.С. Ав отчет №4 от 29.06.20 ИП Гусева Н.А., сч/ф №189 от 23.06.20, акт вып работ 189 от 23.06.20, п/п №199 от 19.06.20</t>
  </si>
  <si>
    <t>Дак В.С. Ав отчет №4 от 29.06.20г ТОО "Лана" Сч/ф №23 от 22.06.20, Акт вып работ №23 от 22.06.20, п/п№200 от 19.06.20</t>
  </si>
  <si>
    <t>Дак В.С. Ав отчёт 4 от 29.06.20, ИП Шандыга О.Г., Акт вып работ №182 от 27.06.20, сч/Ф №175 от 27.06.20, Договор б/н от 25.06.20 Павлицкая О.Ю.Акт вып работ №181 от 27.06.20, сч/ф №174 от 27.06.20, п/п №241 от 14.074.20</t>
  </si>
  <si>
    <t xml:space="preserve">ИП Меркульева Л.С. Накладная 2 от 19.11.20 п/п </t>
  </si>
  <si>
    <t>Выписка банка июнь-октябрь  Выписка банка ноябрь 01.11.-25.11.20</t>
  </si>
  <si>
    <t>Восточноая Региональная Дирекция Телекоммуникаций ф-л АО "Казахтелеком", Договор №18-3736558 от 14.07.20, Счет на опл №10121018 от 30.07.20, Сч/ф №200071442 от 31.07.20,     ИП Грушковский А.А Счёт на опл №18 от 13.08.20, Сч/ф №18 от 13.08.20, Накладная №18 от 13.08.20, п/п№315 от 13.08.20  ИП Меркурьева Л.С. Накладная 4 от 19.11.20, п/п 604 от 18.11.20</t>
  </si>
  <si>
    <t>ТОО "Экспресс Аппетит" Акт вып работ 11 от 08.10.20 п/п 468 от 15.10.20    Акт вып работ №12 от 21.10.20 п/п 491, Акт вып работ №17 от 09.11.20 п/п№559 от 09.11.20</t>
  </si>
  <si>
    <t>ИП Грушковский А.А. Счёт на опл №05 от 15.07.20, сч/ф № 05 от 15.07.20, накладная №05 от 15.07.20, ИП Грушковский А.А. Накладная 45 от 13.11.20 п/п 577 от 12.11.20</t>
  </si>
  <si>
    <t>ИП Молчанова О.Н Накладная 58 от 19.11.20 п/п 598 от 18.11.20</t>
  </si>
  <si>
    <t>ИП Молчанова О.Н. АВР 56 от 19.11.20 п/п599 от 18.11.20</t>
  </si>
  <si>
    <t>ИП Грушковский А.А. Счёт на опл №03 от 15.07.20, сч/ф № 03 от 15.07.20, накладная №01 от 15.07.20 Счет на оплату №28 от 23.09.20, Акт вып работ 28 от 25.09.20 п/п 400 от 23.09.20, ИП Грушковский А.А. АВР 58 от 13.11.20, п/п 12.11.20, АВР 15.11.20 п/п 583 от 13.11.20, АВР 39 от 19.11.20 п/п 600 от 18.11.20</t>
  </si>
  <si>
    <t>ИП Матунов Е.А.  Накладная 15 от 19.11.20 п/п 601 от 18.11.20</t>
  </si>
  <si>
    <t>Маркс М.С Приказ на командировку 15 от 27.10.20, Командировочное удостоверение 15 от 27.10.20, п/п648 от 24.11.20</t>
  </si>
  <si>
    <t xml:space="preserve"> ИП "Бианара" проживание АВР437 от 01.11.20, Авансовый отчёт 10 от 24.11.20Маркс М.С  п/п 649 от 24.11.20</t>
  </si>
  <si>
    <t>ТОО "Avis logistics" Договор №UKG 297-0320 jn 03/03/20 , Счет на опл №00000029991 от 31.05.20, Акт вып/р №29991 от 31.05.20, сч/ф 30792 от 31.05.20, п/п 206 от 29.06.20,Акт вып работ №35550 от 30.06.20 , сч/ф 36539 от 30.06.20                       Сч/ф №00000042378 от 31.07.20, Акт вып работ №41173 от 31.07.20 п/п№302 от 04.08.20 Акт вып работ №45556 , сч/ф №45556 от 22.09.20 п/п№395 от 21.09.20         Акт вып работ 55062 от 30.09.20 п/п 15.10.20, АВР №66617 от 12.11.20 п/п№578 от 12.11.20, АВР №7356 от 25.11.20 п/п635 от 24.11.20</t>
  </si>
  <si>
    <t>Табель учёта рабочего времени за июнь-октябрь, РПВ июнь-октябрь , начисления за октябрьСО за июнь 2020 п/п№249 от 15.07.20, СН за июнь 2020 п/п№246 от 15.07.20, СО за июль 2020 п/п 326 от 19.08.20, СН за июль 2020 п/п№323 от 19.08.20 СО за август 20 п/п№408 от 24.09.20 СН за август п/п №409 от 24.09.20  СО за сентябрь п/п 486 от 23.10.20, СН за сентябрь п/п №484 от 23.10.20 Табель учёта рабочего времени ноябрь, РПВ ноябрь СО п/п 644 от 24.11.20, СН ноябрь п/п640 от 24.11.20</t>
  </si>
  <si>
    <t>Табель учёта рабочего времени за июнь-октябрь   ОСМС за июнь 2020 , п/п№ 250 от 15.07.20, ОСМС за июль 2020 п/п№327 от 19.08.20   ОСМС за сентябрь 11931, Табель учёта рабочего времени ноябрь, РПВ ноябрь СО п/п 644 от 24.11.20 РПВ ноябрь ОСМС п/п №647 от 24.11.20, п/п 685 от 25.11.20, п/п 646 от 24.11.20</t>
  </si>
  <si>
    <t>ИП Грушковский А.А. Накладная 58 от 26.11.20 п/п 683 от 25.11.20, ИП Грушковский А.А. Накладная 59 от 26.11.20 п/п 682 от 25.11.20</t>
  </si>
  <si>
    <t>СН на сумму 7387,71 была переплата в срок 11.06.-25.1120, СО на сумму 4383 была перплата в срок с 11.06.-25.11.20, общая сумма 11770,71 будет вовращена в бюджет</t>
  </si>
  <si>
    <t>Табель учёта рабочего времени за июнь-октябрь, РПВ июнь-октябрь начисления за октябрь   Дак В.С. Приказ №б/н 17.08.2018 , Труд договор б/н от 17.08.2018 , з/пл за июнь 20, РПВ №01 от 30.06.20, п/п №228 от 01.07.20 ИПН за июнь 2020 в сумме 17255 тенге, п/п№247 от 15.07.20 РПВ №02 от 30.07.20 ,з/пл  п/п 292 от 30.07.20, ИПН за июль 2020 п/п№324 от 19.08.20 з/пл за август 20 п/п №357 от 28.08.20 ВОСМС за август 20 п/п 407 от 24/09/20  ОПВ за август 2020 п/п 411 от 24.09.20 ОПВ за август 2020 п/п 411 от 24.09.20  ИПН за август 2020 п/п 410 от 24.09.20, з/пл за сентябрь 2020 п/п №449 от 01.10.20  ВОСМС за сентябрь п/п №483 от 23.10.20             ОПВ за сентябрь п/п 487 от 23.10.20 ИПН за сентябрь п/п 485 от 23.10.20, табель учёта рабочего времени за ноябрь з/пл п/п 636 от 24.11.20, ОПВ п/п 641 от 24.11.20, ИПН п/п 638 от 24.11.20</t>
  </si>
  <si>
    <t>Табель учёта рабочего времени за июнь- октябрь, РПВ июнь-октябрь,  начисления за октябрь    Павлицкая О.Ю. Приказ № , Труд договр №, РПВ №01 от 30.06.20, з/пл за июнь 20, п/п№228 от 01.07.20 ИПН за июнь 2020 в сумме 13005 тенге, п/п№247 от 15.07.20   РПВ №02 от 30.07.20, з/пл п/п№292 от 30.07.20 ИПН за июль 2020 п/п№324 от 19.08.20, з/пл за август 20 п/п №357 от 28.08.20 ВОСМС за август 20 п/п 407 от 24/09/20   ОПВ за август 2020 п/п 411 от 24.09.20   ИПН за август 2020 п/п 410 от 24.09.20  з/пл за сентябрь 2020 п/п №449 от 01.10.20 ВОСМС за сентябрь п/п №483 от 23.10.20   ОПВ за сентябрь п/п 487 от 23.10.20 ИПН за сентябрь п/п№485 от 23.10.20  табель учёта рабочего времени за ноябрь з/пл п/п 636 от 24.11.20, ОПВ п/п 641 от 24.11.20, ИПН п/п 638 от 24.11.20</t>
  </si>
  <si>
    <t>Табель учёта рабочего времени за июнь-октябрь, РПВ июнь-октябрь, начисления за октябрь   Маркс М.С. Приказ № Труд Договр , з/пл за июнь 2020, РПВ №01 от 30.06.20г, п/п 228 от 01.07.20 ИПН за июнь 2020 в сумме 17255 тенге, п/п№247 от 15.07.20  РПВ №02 от 30.07.20, з/пл п/п№292 от 30.07.20 ИПН за июль 2020 п/п№324 от 19.08.20,                                             з/пл за август 20 п/п №357 от 28.08.20 ВОСМС за август 20 п/п 407 от 24/09/20   ИПН за август 2020 п/п 410 от 24.09.20 з/пл за сентябрь 2020 п/п №449 от 01.10.20 ВОСМС за сентябрь п/п №483 от 23.10.20   ОПВ за сентябрь п/п 487 от 23.10.20 ИПН за сентябрь п/п 485 от 23.10.20 табель учёта рабочего времени за ноябрь з/пл п/п 636 от 24.11.20, ОПВ п/п 641 от 24.11.20, ИПН п/п 638 от 24.11.20</t>
  </si>
  <si>
    <t>Табель учёта рабочего времени за июнь-октябрь, РПВ июнь-октябрь ,начисления за октябрь   Байбусынов С.А.Приказ №, Труд договор №, РПВ 01 от 30.06.20, з/пл за июнь 20, п/п№233 от 07.07.20, №235 от 07.07.20 ИПН за июнь 2020 в сумме 17255 тенге, п/п№247 от 15.07.20  РПВ №02 от 30.07.20, з/пл  п/п№300 от 04.08.20, п/п№298 от 04.08.20 ИПН за июль 2020 п/п№324 от 19.08.20                            1/4 зпл за август 202 п/п №359 от 28.08.20, з/пл за август 20 п/п №357 от 28.08.20 ВОСМС за август 20 п/п 407 от 24/09/20 ОПВ за август 2020 п/п 411 от 24.09.20  ИПН за август 2020 п/п 410 от 24.09.20                    1/4 от зпл за сентябрь п/п 448 от 01.10.20 з/пл за сентябрь 2020 п/п №449 от                                                                                              01.10.20 ВОСМС за сентябрь п/п №483 от 23.10.20    опв за сентябрь п/п 487 от 23.10.20  ИПН за сентябрь п/п 485 от 23.10.20 табель учёта рабочего времени за ноябрь з/пл п/п 636 от 24.11.20, ОПВ п/п 641 от 24.11.20, ИПН п/п 638 от 24.11.20</t>
  </si>
  <si>
    <t xml:space="preserve"> Табель учёта рабочего времени июнь-октябрь, РПВ июнь-октябрь  начисления за октябрь Касымакынулы Т Приказ №04.01.20, Труд договор №04.01.20 , РПВ№01 от 30.06.20, з/пл за июнь2020, п/П №228 от 01.07.20 ИПН за июнь 2020 в сумме 11280 тенге, п/п№247 от 15.07.20 РПВ №02 от 30.07.20, з/пл п/п №292 от 30.07.20 ИПН за июль 2020 п/п№324 от 19.08.20,                                         з/пл за август 20 п/п №357 от 28.08.20 ВОСМС за август 20 п/п 407 от 24/09/20 ОПВ за август 2020 п/п 411 от 24.09.20   ИПН за август 2020 п/п 410 от 24.09.20 з/пл за сентябрь 2020 п/п №449 от 01.10.20 ВОСМС за сентябрь п/п №483 от 23.10.20 ОПВ за сентябрь п/п 487 от 23.10.20 ИПН за сентябрь п/п 485 от 23.10.20 табель учёта рабочего времени за ноябрь з/пл п/п 636 от 24.11.20, ОПВ п/п 641 от 24.11.20, ИПН п/п 638 от 24.11.20</t>
  </si>
  <si>
    <t>ЗАКЛЮЧИТЕЛЬНЫЙ ОТЧЕТ О РАСХОДОВАНИИ ДЕНЕЖНЫХ СРЕДСТВ</t>
  </si>
  <si>
    <t>Договор ГПХ Мусаева Мунараш , договор б/н от 20.10.20 п/п 474 от 22.10.20, п/п №490 от 23.10.20, Козлова А.А договор ГПХ от 20.10.20, 
Аманбай Ф.С договор гпх от 20.10.20 , Мырзагалиева Г.Б договор гпх от 20.10.20, 
Ойнарова Г.У. договор гпх от 26.10.20, 
Айтмырза М.М договор гпх от 30.10.20, 
Киргизбаева Договор гпх от 12.11.20, 
Асанова договор гпх от 10.11.20, 
Сыздыкова договор гпх 15.11.20, 
Кундулов договор гпх от 20.10.20,
Жолнерова договор гпх от 10.11.20</t>
  </si>
  <si>
    <t>Договор  б/н от 01.07.20  Абаза Н.Н., 
Договор б/н от 01.07.20 Томиловский, 
Договор б/н от 20.07.20 Журбин А.Ф.</t>
  </si>
  <si>
    <t>Договор б/н от 01.07.20 Симанчук О.Н.,
Договор б/н от 20.07.20 Камалов А.М., 
договор б/н от 01.07.20 Рева Н.Е.</t>
  </si>
  <si>
    <t>Договор б/н от 01.07.20 Томиловская Л.А.
,Договор от 20.07.20  Шабалин К.С.,
Договор от 01.07.20  Ширяева Д.В., 
Договор б/н от 01.06.20 Соломин С</t>
  </si>
  <si>
    <t>учтен в промежуточном отчете</t>
  </si>
  <si>
    <t>Разница будет оптимизирована в бюджет, т.к з/плата была выплачена за полный месяц, а договор по 25.11.21</t>
  </si>
  <si>
    <t>Разница будет оптимизирована в бюджет, т.к з/плата была выплачена за полный месяц, а договор по 25.11.22</t>
  </si>
  <si>
    <t>Разница будет оптимизирована в бюджет, т.к з/плата была выплачена за полный месяц, а договор по 25.11.23</t>
  </si>
  <si>
    <t>Разница будет оптимизирована в бюджет, т.к з/плата была выплачена за полный месяц, а договор по 25.11.24</t>
  </si>
  <si>
    <t>Разница будет оптимизирована в бюджет, т.к з/плата была выплачена за полный месяц, а договор по 25.11.25</t>
  </si>
  <si>
    <t>3000 тенге  удержено, т.к. была перплата по ВОСМС по Соломин С.А.</t>
  </si>
  <si>
    <t>2500 тенге удержено, т к была переплата по ИПН Ойнарова Г.У.</t>
  </si>
  <si>
    <t>15000 тенге удержены, т.к. была переплата по ОПВ Рева Н.Е.</t>
  </si>
  <si>
    <t>3000 тенге  удержены, т.к. была перплата по ВОСМС по Абаза Н.Н.</t>
  </si>
  <si>
    <t>Разница будет оптимизирована в бюджет, т.к з/плата была выплачена за полный месяц, а договор по 25.11.20. Недоплата по ИПН в общей сумме 83700 тенге не учтена в отчете, будет оплачена за счет собственных средств, ВОСМС в сумме 33870 тенге не учтена в отчете, будет оплачена за счет собственных средств</t>
  </si>
  <si>
    <t xml:space="preserve">ОСМС на сумму была переплата в период июнь- ноябрь 2020 будет оптимизирована в бюджет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</si>
</sst>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_₽_-;\-* #,##0\ _₽_-;_-* &quot;-&quot;\ _₽_-;_-@_-"/>
    <numFmt numFmtId="165" formatCode="_-* #,##0.00\ _₽_-;\-* #,##0.00\ _₽_-;_-* &quot;-&quot;??\ _₽_-;_-@_-"/>
  </numFmts>
  <fonts count="6"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b/>
      <sz val="12"/>
      <name val="Times New Roman"/>
      <family val="1"/>
      <charset val="204"/>
    </font>
    <font>
      <sz val="12"/>
      <name val="Times New Roman"/>
      <family val="1"/>
      <charset val="204"/>
    </font>
    <font>
      <sz val="12"/>
      <color theme="1"/>
      <name val="Calibri"/>
      <family val="2"/>
      <charset val="20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8">
    <xf numFmtId="0" fontId="0" fillId="0" borderId="0" xfId="0"/>
    <xf numFmtId="165" fontId="1" fillId="0" borderId="1" xfId="0" applyNumberFormat="1" applyFont="1" applyFill="1" applyBorder="1" applyAlignment="1">
      <alignment vertical="center" wrapText="1"/>
    </xf>
    <xf numFmtId="0" fontId="4"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0" fontId="1" fillId="0" borderId="1" xfId="0" applyFont="1" applyFill="1" applyBorder="1" applyAlignment="1">
      <alignment vertical="center" wrapText="1"/>
    </xf>
    <xf numFmtId="0" fontId="1" fillId="0" borderId="0" xfId="0" applyFont="1" applyFill="1"/>
    <xf numFmtId="0" fontId="2" fillId="0" borderId="1" xfId="0" applyFont="1" applyFill="1" applyBorder="1" applyAlignment="1">
      <alignment horizontal="center" vertical="center" wrapText="1"/>
    </xf>
    <xf numFmtId="0" fontId="3" fillId="0" borderId="1" xfId="0" applyFont="1" applyFill="1" applyBorder="1" applyAlignment="1">
      <alignment vertical="center" wrapText="1"/>
    </xf>
    <xf numFmtId="164" fontId="2" fillId="0" borderId="1" xfId="0" applyNumberFormat="1" applyFont="1" applyFill="1" applyBorder="1" applyAlignment="1">
      <alignment vertical="center" wrapText="1"/>
    </xf>
    <xf numFmtId="165"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xf numFmtId="0" fontId="3" fillId="0" borderId="1" xfId="0" applyFont="1" applyFill="1" applyBorder="1" applyAlignment="1">
      <alignment horizontal="left" vertical="center" wrapText="1"/>
    </xf>
    <xf numFmtId="0" fontId="2" fillId="0" borderId="0" xfId="0" applyFont="1" applyFill="1" applyAlignment="1">
      <alignment horizontal="center" vertical="center"/>
    </xf>
    <xf numFmtId="0" fontId="1" fillId="0" borderId="0" xfId="0" applyFont="1" applyFill="1" applyAlignment="1">
      <alignment horizontal="left" vertical="center" indent="15"/>
    </xf>
    <xf numFmtId="0" fontId="1" fillId="0" borderId="0" xfId="0" applyFont="1" applyFill="1" applyAlignment="1">
      <alignment horizontal="left"/>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xf numFmtId="0" fontId="2" fillId="0" borderId="1" xfId="0" applyFont="1" applyFill="1" applyBorder="1"/>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63"/>
  <sheetViews>
    <sheetView tabSelected="1" view="pageBreakPreview" topLeftCell="A139" zoomScale="80" zoomScaleNormal="100" zoomScaleSheetLayoutView="80" workbookViewId="0">
      <selection activeCell="H149" sqref="H149"/>
    </sheetView>
  </sheetViews>
  <sheetFormatPr defaultColWidth="9.140625" defaultRowHeight="15.75" x14ac:dyDescent="0.25"/>
  <cols>
    <col min="1" max="1" width="6.42578125" style="13" customWidth="1"/>
    <col min="2" max="2" width="34.85546875" style="5" customWidth="1"/>
    <col min="3" max="3" width="15.85546875" style="5" customWidth="1"/>
    <col min="4" max="4" width="17.28515625" style="5" customWidth="1"/>
    <col min="5" max="6" width="17.5703125" style="5" customWidth="1"/>
    <col min="7" max="7" width="17.42578125" style="5" customWidth="1"/>
    <col min="8" max="8" width="52.7109375" style="5" customWidth="1"/>
    <col min="9" max="9" width="23.85546875" style="16" customWidth="1"/>
    <col min="10" max="16384" width="9.140625" style="5"/>
  </cols>
  <sheetData>
    <row r="1" spans="1:9" x14ac:dyDescent="0.25">
      <c r="F1" s="14"/>
      <c r="H1" s="15"/>
    </row>
    <row r="2" spans="1:9" x14ac:dyDescent="0.25">
      <c r="E2" s="13" t="s">
        <v>185</v>
      </c>
    </row>
    <row r="3" spans="1:9" x14ac:dyDescent="0.25">
      <c r="E3" s="13"/>
    </row>
    <row r="4" spans="1:9" x14ac:dyDescent="0.25">
      <c r="B4" s="5" t="s">
        <v>72</v>
      </c>
      <c r="E4" s="13"/>
    </row>
    <row r="5" spans="1:9" x14ac:dyDescent="0.25">
      <c r="B5" s="5" t="s">
        <v>73</v>
      </c>
      <c r="E5" s="13"/>
    </row>
    <row r="6" spans="1:9" x14ac:dyDescent="0.25">
      <c r="B6" s="5" t="s">
        <v>74</v>
      </c>
      <c r="E6" s="13"/>
    </row>
    <row r="8" spans="1:9" ht="47.25" customHeight="1" x14ac:dyDescent="0.25">
      <c r="A8" s="6" t="s">
        <v>0</v>
      </c>
      <c r="B8" s="6" t="s">
        <v>109</v>
      </c>
      <c r="C8" s="6" t="s">
        <v>1</v>
      </c>
      <c r="D8" s="6" t="s">
        <v>110</v>
      </c>
      <c r="E8" s="6" t="s">
        <v>111</v>
      </c>
      <c r="F8" s="6" t="s">
        <v>106</v>
      </c>
      <c r="G8" s="6" t="s">
        <v>107</v>
      </c>
      <c r="H8" s="6" t="s">
        <v>2</v>
      </c>
      <c r="I8" s="6" t="s">
        <v>108</v>
      </c>
    </row>
    <row r="9" spans="1:9" x14ac:dyDescent="0.25">
      <c r="A9" s="6"/>
      <c r="B9" s="20">
        <v>1</v>
      </c>
      <c r="C9" s="20">
        <v>2</v>
      </c>
      <c r="D9" s="20">
        <v>3</v>
      </c>
      <c r="E9" s="20">
        <v>4</v>
      </c>
      <c r="F9" s="20">
        <v>5</v>
      </c>
      <c r="G9" s="20">
        <v>6</v>
      </c>
      <c r="H9" s="20">
        <v>7</v>
      </c>
      <c r="I9" s="20">
        <v>8</v>
      </c>
    </row>
    <row r="10" spans="1:9" x14ac:dyDescent="0.25">
      <c r="A10" s="6">
        <v>1</v>
      </c>
      <c r="B10" s="7" t="s">
        <v>3</v>
      </c>
      <c r="C10" s="8">
        <f>C11+C18+C19+C20+C21+C22+C23+C24+C25+C29+C32</f>
        <v>8391712</v>
      </c>
      <c r="D10" s="9">
        <f>D11+D18+D19+D20+D21+D22+D23+D24+D25+D29+D32</f>
        <v>5800572.5699999994</v>
      </c>
      <c r="E10" s="9">
        <f>E11+E18+E19+E20+E21+E22+E23+E24+E25+E29+E32</f>
        <v>1668218.9100000001</v>
      </c>
      <c r="F10" s="9">
        <f>D10+E10</f>
        <v>7468791.4799999995</v>
      </c>
      <c r="G10" s="9">
        <f>C10-F10</f>
        <v>922920.52000000048</v>
      </c>
      <c r="H10" s="10"/>
      <c r="I10" s="6"/>
    </row>
    <row r="11" spans="1:9" x14ac:dyDescent="0.25">
      <c r="A11" s="6"/>
      <c r="B11" s="7" t="s">
        <v>4</v>
      </c>
      <c r="C11" s="8">
        <f>SUM(C12:C17)</f>
        <v>5848440</v>
      </c>
      <c r="D11" s="9">
        <f>D12+D13+D14+D15+D16+D17</f>
        <v>4859193.5999999996</v>
      </c>
      <c r="E11" s="9">
        <f>E12+E13+E14+E15+E16+E17</f>
        <v>732427.82000000007</v>
      </c>
      <c r="F11" s="9">
        <f t="shared" ref="F11:F74" si="0">D11+E11</f>
        <v>5591621.4199999999</v>
      </c>
      <c r="G11" s="9">
        <f t="shared" ref="G11:G74" si="1">C11-F11</f>
        <v>256818.58000000007</v>
      </c>
      <c r="H11" s="10"/>
      <c r="I11" s="6"/>
    </row>
    <row r="12" spans="1:9" ht="271.14999999999998" customHeight="1" x14ac:dyDescent="0.25">
      <c r="A12" s="20"/>
      <c r="B12" s="2" t="s">
        <v>5</v>
      </c>
      <c r="C12" s="3">
        <v>1018560</v>
      </c>
      <c r="D12" s="1">
        <f>848800-14506.4</f>
        <v>834293.6</v>
      </c>
      <c r="E12" s="1">
        <f>145508.57+14506.4-13950-5645</f>
        <v>140419.97</v>
      </c>
      <c r="F12" s="1">
        <f t="shared" si="0"/>
        <v>974713.57</v>
      </c>
      <c r="G12" s="1">
        <f t="shared" si="1"/>
        <v>43846.430000000051</v>
      </c>
      <c r="H12" s="4" t="s">
        <v>180</v>
      </c>
      <c r="I12" s="20" t="s">
        <v>200</v>
      </c>
    </row>
    <row r="13" spans="1:9" ht="253.15" customHeight="1" x14ac:dyDescent="0.25">
      <c r="A13" s="20"/>
      <c r="B13" s="2" t="s">
        <v>6</v>
      </c>
      <c r="C13" s="3">
        <v>1018560</v>
      </c>
      <c r="D13" s="1">
        <f>133333+17255+19172+133333+17255+19172+133333+17255+19172+1917+135808+10388+1041+1694+143233+15278+7653+16976+3834+1698</f>
        <v>848800</v>
      </c>
      <c r="E13" s="1">
        <f>145508.57-13950-5645</f>
        <v>125913.57</v>
      </c>
      <c r="F13" s="1">
        <f t="shared" si="0"/>
        <v>974713.57000000007</v>
      </c>
      <c r="G13" s="1">
        <f t="shared" si="1"/>
        <v>43846.429999999935</v>
      </c>
      <c r="H13" s="4" t="s">
        <v>182</v>
      </c>
      <c r="I13" s="20" t="s">
        <v>191</v>
      </c>
    </row>
    <row r="14" spans="1:9" ht="252.6" customHeight="1" x14ac:dyDescent="0.25">
      <c r="A14" s="20"/>
      <c r="B14" s="2" t="s">
        <v>7</v>
      </c>
      <c r="C14" s="3">
        <v>1018560</v>
      </c>
      <c r="D14" s="1">
        <f>137583+13005+19172+137583+13005+19172+137583+13005+19172+1917+140058+5097+1041+10388+147483+11028+16976+3834+1698</f>
        <v>848800</v>
      </c>
      <c r="E14" s="1">
        <f>145508.57-13950-5645</f>
        <v>125913.57</v>
      </c>
      <c r="F14" s="1">
        <f t="shared" si="0"/>
        <v>974713.57000000007</v>
      </c>
      <c r="G14" s="1">
        <f t="shared" si="1"/>
        <v>43846.429999999935</v>
      </c>
      <c r="H14" s="4" t="s">
        <v>181</v>
      </c>
      <c r="I14" s="20" t="s">
        <v>192</v>
      </c>
    </row>
    <row r="15" spans="1:9" ht="296.45" customHeight="1" x14ac:dyDescent="0.25">
      <c r="A15" s="17"/>
      <c r="B15" s="2" t="s">
        <v>8</v>
      </c>
      <c r="C15" s="3">
        <v>1018560</v>
      </c>
      <c r="D15" s="1">
        <f>85403+47930+17255+19172+85403+47930+17255+19172+85403+47930+17255+19172+97618+42440+10388+1041+9347+106948+33952+16976+15278+3834+1698</f>
        <v>848800</v>
      </c>
      <c r="E15" s="1">
        <f>145508.57-13950-5645</f>
        <v>125913.57</v>
      </c>
      <c r="F15" s="1">
        <f t="shared" si="0"/>
        <v>974713.57000000007</v>
      </c>
      <c r="G15" s="1">
        <f t="shared" si="1"/>
        <v>43846.429999999935</v>
      </c>
      <c r="H15" s="4" t="s">
        <v>183</v>
      </c>
      <c r="I15" s="20" t="s">
        <v>193</v>
      </c>
    </row>
    <row r="16" spans="1:9" ht="257.45" customHeight="1" x14ac:dyDescent="0.25">
      <c r="A16" s="20"/>
      <c r="B16" s="2" t="s">
        <v>9</v>
      </c>
      <c r="C16" s="3">
        <v>916704</v>
      </c>
      <c r="D16" s="1">
        <f>124249+11280+17255+124249+11280+17255+124249+11280+17255+1726+126477+9347+934+4164+133161+15278+9501+3452+1528</f>
        <v>763920</v>
      </c>
      <c r="E16" s="1">
        <f>130957.71-13950-5645</f>
        <v>111362.71</v>
      </c>
      <c r="F16" s="1">
        <f t="shared" si="0"/>
        <v>875282.71</v>
      </c>
      <c r="G16" s="1">
        <f t="shared" si="1"/>
        <v>41421.290000000037</v>
      </c>
      <c r="H16" s="4" t="s">
        <v>184</v>
      </c>
      <c r="I16" s="20" t="s">
        <v>194</v>
      </c>
    </row>
    <row r="17" spans="1:9" ht="247.15" customHeight="1" x14ac:dyDescent="0.25">
      <c r="A17" s="20"/>
      <c r="B17" s="2" t="s">
        <v>10</v>
      </c>
      <c r="C17" s="3">
        <v>857496</v>
      </c>
      <c r="D17" s="1">
        <f>112249+14526+16141+112249+14526+16141+112249+14526+16141+1614+114333+8745+874+7870+120585+14292+12862+3228+1429</f>
        <v>714580</v>
      </c>
      <c r="E17" s="1">
        <f>122499.43-13950-5645</f>
        <v>102904.43</v>
      </c>
      <c r="F17" s="1">
        <f t="shared" si="0"/>
        <v>817484.42999999993</v>
      </c>
      <c r="G17" s="1">
        <f t="shared" si="1"/>
        <v>40011.570000000065</v>
      </c>
      <c r="H17" s="4" t="s">
        <v>152</v>
      </c>
      <c r="I17" s="20" t="s">
        <v>195</v>
      </c>
    </row>
    <row r="18" spans="1:9" s="11" customFormat="1" ht="176.45" customHeight="1" x14ac:dyDescent="0.25">
      <c r="A18" s="6"/>
      <c r="B18" s="7" t="s">
        <v>11</v>
      </c>
      <c r="C18" s="8">
        <v>494484</v>
      </c>
      <c r="D18" s="9">
        <f>34675+58400+34675+58400+34675+58400+31644+18787+51708+30703</f>
        <v>412067</v>
      </c>
      <c r="E18" s="9">
        <f>70640.69+5.6</f>
        <v>70646.290000000008</v>
      </c>
      <c r="F18" s="9">
        <f t="shared" si="0"/>
        <v>482713.29000000004</v>
      </c>
      <c r="G18" s="9">
        <f t="shared" si="1"/>
        <v>11770.709999999963</v>
      </c>
      <c r="H18" s="10" t="s">
        <v>176</v>
      </c>
      <c r="I18" s="6" t="s">
        <v>179</v>
      </c>
    </row>
    <row r="19" spans="1:9" s="11" customFormat="1" ht="170.45" customHeight="1" x14ac:dyDescent="0.25">
      <c r="A19" s="6"/>
      <c r="B19" s="7" t="s">
        <v>12</v>
      </c>
      <c r="C19" s="8">
        <v>116969</v>
      </c>
      <c r="D19" s="9">
        <v>11931</v>
      </c>
      <c r="E19" s="9">
        <f>16709+85539</f>
        <v>102248</v>
      </c>
      <c r="F19" s="9">
        <f t="shared" si="0"/>
        <v>114179</v>
      </c>
      <c r="G19" s="9">
        <f t="shared" si="1"/>
        <v>2790</v>
      </c>
      <c r="H19" s="10" t="s">
        <v>177</v>
      </c>
      <c r="I19" s="6" t="s">
        <v>201</v>
      </c>
    </row>
    <row r="20" spans="1:9" s="11" customFormat="1" ht="31.5" x14ac:dyDescent="0.25">
      <c r="A20" s="6"/>
      <c r="B20" s="7" t="s">
        <v>13</v>
      </c>
      <c r="C20" s="8">
        <v>120000</v>
      </c>
      <c r="D20" s="9">
        <v>16020</v>
      </c>
      <c r="E20" s="9">
        <v>10894.8</v>
      </c>
      <c r="F20" s="9">
        <f t="shared" si="0"/>
        <v>26914.799999999999</v>
      </c>
      <c r="G20" s="9">
        <f t="shared" si="1"/>
        <v>93085.2</v>
      </c>
      <c r="H20" s="10" t="s">
        <v>165</v>
      </c>
      <c r="I20" s="6" t="s">
        <v>83</v>
      </c>
    </row>
    <row r="21" spans="1:9" s="11" customFormat="1" ht="141.75" x14ac:dyDescent="0.25">
      <c r="A21" s="6"/>
      <c r="B21" s="7" t="s">
        <v>14</v>
      </c>
      <c r="C21" s="8">
        <v>223998</v>
      </c>
      <c r="D21" s="9">
        <f>111000+6640.97</f>
        <v>117640.97</v>
      </c>
      <c r="E21" s="9">
        <v>103000</v>
      </c>
      <c r="F21" s="9">
        <f t="shared" si="0"/>
        <v>220640.97</v>
      </c>
      <c r="G21" s="9">
        <f t="shared" si="1"/>
        <v>3357.0299999999988</v>
      </c>
      <c r="H21" s="10" t="s">
        <v>166</v>
      </c>
      <c r="I21" s="6" t="s">
        <v>83</v>
      </c>
    </row>
    <row r="22" spans="1:9" s="11" customFormat="1" ht="189" x14ac:dyDescent="0.25">
      <c r="A22" s="6"/>
      <c r="B22" s="7" t="s">
        <v>15</v>
      </c>
      <c r="C22" s="8">
        <v>120072</v>
      </c>
      <c r="D22" s="9">
        <v>59200</v>
      </c>
      <c r="E22" s="9">
        <f>14200+45272</f>
        <v>59472</v>
      </c>
      <c r="F22" s="9">
        <f t="shared" si="0"/>
        <v>118672</v>
      </c>
      <c r="G22" s="9">
        <f t="shared" si="1"/>
        <v>1400</v>
      </c>
      <c r="H22" s="10" t="s">
        <v>175</v>
      </c>
      <c r="I22" s="6" t="s">
        <v>83</v>
      </c>
    </row>
    <row r="23" spans="1:9" s="11" customFormat="1" ht="31.5" x14ac:dyDescent="0.25">
      <c r="A23" s="6"/>
      <c r="B23" s="7" t="s">
        <v>112</v>
      </c>
      <c r="C23" s="8">
        <v>72000</v>
      </c>
      <c r="D23" s="9">
        <v>0</v>
      </c>
      <c r="E23" s="9">
        <v>0</v>
      </c>
      <c r="F23" s="9">
        <f t="shared" si="0"/>
        <v>0</v>
      </c>
      <c r="G23" s="9">
        <f t="shared" si="1"/>
        <v>72000</v>
      </c>
      <c r="H23" s="10"/>
      <c r="I23" s="6" t="s">
        <v>156</v>
      </c>
    </row>
    <row r="24" spans="1:9" s="11" customFormat="1" ht="47.25" x14ac:dyDescent="0.25">
      <c r="A24" s="6"/>
      <c r="B24" s="7" t="s">
        <v>113</v>
      </c>
      <c r="C24" s="8">
        <v>390108</v>
      </c>
      <c r="D24" s="9">
        <v>0</v>
      </c>
      <c r="E24" s="9">
        <v>0</v>
      </c>
      <c r="F24" s="9">
        <f t="shared" si="0"/>
        <v>0</v>
      </c>
      <c r="G24" s="9">
        <f t="shared" si="1"/>
        <v>390108</v>
      </c>
      <c r="H24" s="10"/>
      <c r="I24" s="6" t="s">
        <v>156</v>
      </c>
    </row>
    <row r="25" spans="1:9" s="11" customFormat="1" ht="94.5" x14ac:dyDescent="0.25">
      <c r="A25" s="6"/>
      <c r="B25" s="7" t="s">
        <v>16</v>
      </c>
      <c r="C25" s="8">
        <v>104521</v>
      </c>
      <c r="D25" s="9">
        <f>SUM(D26:D28)</f>
        <v>104520</v>
      </c>
      <c r="E25" s="9">
        <v>0</v>
      </c>
      <c r="F25" s="9">
        <f t="shared" si="0"/>
        <v>104520</v>
      </c>
      <c r="G25" s="9">
        <f t="shared" si="1"/>
        <v>1</v>
      </c>
      <c r="H25" s="10"/>
      <c r="I25" s="6"/>
    </row>
    <row r="26" spans="1:9" ht="47.25" x14ac:dyDescent="0.25">
      <c r="A26" s="20"/>
      <c r="B26" s="2" t="s">
        <v>17</v>
      </c>
      <c r="C26" s="3">
        <v>50001</v>
      </c>
      <c r="D26" s="1">
        <v>50000</v>
      </c>
      <c r="E26" s="1">
        <v>0</v>
      </c>
      <c r="F26" s="1">
        <f t="shared" si="0"/>
        <v>50000</v>
      </c>
      <c r="G26" s="1">
        <f t="shared" si="1"/>
        <v>1</v>
      </c>
      <c r="H26" s="4" t="s">
        <v>87</v>
      </c>
      <c r="I26" s="20"/>
    </row>
    <row r="27" spans="1:9" ht="47.25" x14ac:dyDescent="0.25">
      <c r="A27" s="20"/>
      <c r="B27" s="2" t="s">
        <v>18</v>
      </c>
      <c r="C27" s="3">
        <v>4520</v>
      </c>
      <c r="D27" s="1">
        <v>4520</v>
      </c>
      <c r="E27" s="1">
        <v>0</v>
      </c>
      <c r="F27" s="1">
        <f t="shared" si="0"/>
        <v>4520</v>
      </c>
      <c r="G27" s="1">
        <f t="shared" si="1"/>
        <v>0</v>
      </c>
      <c r="H27" s="4" t="s">
        <v>85</v>
      </c>
      <c r="I27" s="20"/>
    </row>
    <row r="28" spans="1:9" ht="47.25" x14ac:dyDescent="0.25">
      <c r="A28" s="20"/>
      <c r="B28" s="2" t="s">
        <v>19</v>
      </c>
      <c r="C28" s="3">
        <v>50000</v>
      </c>
      <c r="D28" s="1">
        <v>50000</v>
      </c>
      <c r="E28" s="1">
        <v>0</v>
      </c>
      <c r="F28" s="1">
        <f t="shared" si="0"/>
        <v>50000</v>
      </c>
      <c r="G28" s="1">
        <f t="shared" si="1"/>
        <v>0</v>
      </c>
      <c r="H28" s="4" t="s">
        <v>90</v>
      </c>
      <c r="I28" s="20"/>
    </row>
    <row r="29" spans="1:9" s="11" customFormat="1" x14ac:dyDescent="0.25">
      <c r="A29" s="6"/>
      <c r="B29" s="12" t="s">
        <v>20</v>
      </c>
      <c r="C29" s="8">
        <v>720000</v>
      </c>
      <c r="D29" s="9">
        <f>SUM(D30:D31)</f>
        <v>220000</v>
      </c>
      <c r="E29" s="9">
        <f>E30</f>
        <v>498000</v>
      </c>
      <c r="F29" s="9">
        <f t="shared" si="0"/>
        <v>718000</v>
      </c>
      <c r="G29" s="9">
        <f t="shared" si="1"/>
        <v>2000</v>
      </c>
      <c r="H29" s="10"/>
      <c r="I29" s="6"/>
    </row>
    <row r="30" spans="1:9" ht="110.25" x14ac:dyDescent="0.25">
      <c r="A30" s="20"/>
      <c r="B30" s="2" t="s">
        <v>21</v>
      </c>
      <c r="C30" s="3">
        <v>650000</v>
      </c>
      <c r="D30" s="1">
        <v>150000</v>
      </c>
      <c r="E30" s="1">
        <f>276000+89000+133000</f>
        <v>498000</v>
      </c>
      <c r="F30" s="1">
        <f t="shared" si="0"/>
        <v>648000</v>
      </c>
      <c r="G30" s="1">
        <f t="shared" si="1"/>
        <v>2000</v>
      </c>
      <c r="H30" s="4" t="s">
        <v>171</v>
      </c>
      <c r="I30" s="20" t="s">
        <v>83</v>
      </c>
    </row>
    <row r="31" spans="1:9" ht="47.25" x14ac:dyDescent="0.25">
      <c r="A31" s="20"/>
      <c r="B31" s="2" t="s">
        <v>22</v>
      </c>
      <c r="C31" s="3">
        <v>70000</v>
      </c>
      <c r="D31" s="1">
        <v>70000</v>
      </c>
      <c r="E31" s="1">
        <v>0</v>
      </c>
      <c r="F31" s="1">
        <f t="shared" si="0"/>
        <v>70000</v>
      </c>
      <c r="G31" s="1">
        <f t="shared" si="1"/>
        <v>0</v>
      </c>
      <c r="H31" s="4" t="s">
        <v>81</v>
      </c>
      <c r="I31" s="20"/>
    </row>
    <row r="32" spans="1:9" ht="47.25" x14ac:dyDescent="0.25">
      <c r="A32" s="6"/>
      <c r="B32" s="12" t="s">
        <v>114</v>
      </c>
      <c r="C32" s="8">
        <v>181120</v>
      </c>
      <c r="D32" s="1">
        <f>SUM(D33:D35)</f>
        <v>0</v>
      </c>
      <c r="E32" s="9">
        <f>E33+E34</f>
        <v>91530</v>
      </c>
      <c r="F32" s="9">
        <f t="shared" si="0"/>
        <v>91530</v>
      </c>
      <c r="G32" s="9">
        <f t="shared" si="1"/>
        <v>89590</v>
      </c>
      <c r="H32" s="10"/>
      <c r="I32" s="6"/>
    </row>
    <row r="33" spans="1:9" ht="47.25" x14ac:dyDescent="0.25">
      <c r="A33" s="20"/>
      <c r="B33" s="2" t="s">
        <v>115</v>
      </c>
      <c r="C33" s="3">
        <v>33336</v>
      </c>
      <c r="D33" s="1">
        <v>0</v>
      </c>
      <c r="E33" s="1">
        <v>27780</v>
      </c>
      <c r="F33" s="1">
        <f t="shared" si="0"/>
        <v>27780</v>
      </c>
      <c r="G33" s="1">
        <f t="shared" si="1"/>
        <v>5556</v>
      </c>
      <c r="H33" s="4" t="s">
        <v>173</v>
      </c>
      <c r="I33" s="24" t="s">
        <v>83</v>
      </c>
    </row>
    <row r="34" spans="1:9" ht="47.25" x14ac:dyDescent="0.25">
      <c r="A34" s="20"/>
      <c r="B34" s="2" t="s">
        <v>116</v>
      </c>
      <c r="C34" s="3">
        <v>77784</v>
      </c>
      <c r="D34" s="1">
        <v>0</v>
      </c>
      <c r="E34" s="1">
        <v>63750</v>
      </c>
      <c r="F34" s="1">
        <f t="shared" si="0"/>
        <v>63750</v>
      </c>
      <c r="G34" s="1">
        <f t="shared" si="1"/>
        <v>14034</v>
      </c>
      <c r="H34" s="4" t="s">
        <v>174</v>
      </c>
      <c r="I34" s="24"/>
    </row>
    <row r="35" spans="1:9" ht="31.5" x14ac:dyDescent="0.25">
      <c r="A35" s="20"/>
      <c r="B35" s="2" t="s">
        <v>117</v>
      </c>
      <c r="C35" s="3">
        <v>70000</v>
      </c>
      <c r="D35" s="1">
        <v>0</v>
      </c>
      <c r="E35" s="1">
        <v>0</v>
      </c>
      <c r="F35" s="1">
        <f t="shared" si="0"/>
        <v>0</v>
      </c>
      <c r="G35" s="1">
        <f t="shared" si="1"/>
        <v>70000</v>
      </c>
      <c r="H35" s="4"/>
      <c r="I35" s="24"/>
    </row>
    <row r="36" spans="1:9" ht="31.5" x14ac:dyDescent="0.25">
      <c r="A36" s="6">
        <v>2</v>
      </c>
      <c r="B36" s="7" t="s">
        <v>118</v>
      </c>
      <c r="C36" s="8">
        <f>SUM(C37:C47)</f>
        <v>2201700</v>
      </c>
      <c r="D36" s="9">
        <f>SUM(D37:D47)</f>
        <v>817760</v>
      </c>
      <c r="E36" s="9">
        <v>1383740</v>
      </c>
      <c r="F36" s="9">
        <f t="shared" si="0"/>
        <v>2201500</v>
      </c>
      <c r="G36" s="9">
        <f t="shared" si="1"/>
        <v>200</v>
      </c>
      <c r="H36" s="10"/>
      <c r="I36" s="6"/>
    </row>
    <row r="37" spans="1:9" ht="47.25" x14ac:dyDescent="0.25">
      <c r="A37" s="20"/>
      <c r="B37" s="2" t="s">
        <v>119</v>
      </c>
      <c r="C37" s="3">
        <v>64800</v>
      </c>
      <c r="D37" s="1">
        <v>64800</v>
      </c>
      <c r="E37" s="1">
        <v>0</v>
      </c>
      <c r="F37" s="1">
        <f t="shared" si="0"/>
        <v>64800</v>
      </c>
      <c r="G37" s="1">
        <f t="shared" si="1"/>
        <v>0</v>
      </c>
      <c r="H37" s="4" t="s">
        <v>80</v>
      </c>
      <c r="I37" s="20"/>
    </row>
    <row r="38" spans="1:9" ht="47.25" x14ac:dyDescent="0.25">
      <c r="A38" s="20"/>
      <c r="B38" s="2" t="s">
        <v>23</v>
      </c>
      <c r="C38" s="3">
        <v>147200</v>
      </c>
      <c r="D38" s="1">
        <v>147000</v>
      </c>
      <c r="E38" s="1">
        <v>0</v>
      </c>
      <c r="F38" s="1">
        <f t="shared" si="0"/>
        <v>147000</v>
      </c>
      <c r="G38" s="1">
        <f t="shared" si="1"/>
        <v>200</v>
      </c>
      <c r="H38" s="4" t="s">
        <v>88</v>
      </c>
      <c r="I38" s="20" t="s">
        <v>83</v>
      </c>
    </row>
    <row r="39" spans="1:9" ht="63" x14ac:dyDescent="0.25">
      <c r="A39" s="20"/>
      <c r="B39" s="2" t="s">
        <v>24</v>
      </c>
      <c r="C39" s="3">
        <v>616000</v>
      </c>
      <c r="D39" s="1">
        <v>308000</v>
      </c>
      <c r="E39" s="1">
        <v>308000</v>
      </c>
      <c r="F39" s="1">
        <f t="shared" si="0"/>
        <v>616000</v>
      </c>
      <c r="G39" s="1">
        <f t="shared" si="1"/>
        <v>0</v>
      </c>
      <c r="H39" s="4" t="s">
        <v>168</v>
      </c>
      <c r="I39" s="24"/>
    </row>
    <row r="40" spans="1:9" ht="63" customHeight="1" x14ac:dyDescent="0.25">
      <c r="A40" s="20"/>
      <c r="B40" s="2" t="s">
        <v>25</v>
      </c>
      <c r="C40" s="3">
        <v>120000</v>
      </c>
      <c r="D40" s="1">
        <v>0</v>
      </c>
      <c r="E40" s="1">
        <v>120000</v>
      </c>
      <c r="F40" s="1">
        <f t="shared" si="0"/>
        <v>120000</v>
      </c>
      <c r="G40" s="1">
        <f t="shared" si="1"/>
        <v>0</v>
      </c>
      <c r="H40" s="4" t="s">
        <v>178</v>
      </c>
      <c r="I40" s="24"/>
    </row>
    <row r="41" spans="1:9" ht="121.15" customHeight="1" x14ac:dyDescent="0.25">
      <c r="A41" s="20"/>
      <c r="B41" s="2" t="s">
        <v>26</v>
      </c>
      <c r="C41" s="3">
        <v>106000</v>
      </c>
      <c r="D41" s="1">
        <v>106000</v>
      </c>
      <c r="E41" s="1">
        <v>0</v>
      </c>
      <c r="F41" s="1">
        <f t="shared" si="0"/>
        <v>106000</v>
      </c>
      <c r="G41" s="1">
        <f t="shared" si="1"/>
        <v>0</v>
      </c>
      <c r="H41" s="24" t="s">
        <v>88</v>
      </c>
      <c r="I41" s="20"/>
    </row>
    <row r="42" spans="1:9" ht="47.25" customHeight="1" x14ac:dyDescent="0.25">
      <c r="A42" s="20"/>
      <c r="B42" s="2" t="s">
        <v>27</v>
      </c>
      <c r="C42" s="3">
        <v>90000</v>
      </c>
      <c r="D42" s="1">
        <f>15000*6</f>
        <v>90000</v>
      </c>
      <c r="E42" s="1">
        <v>0</v>
      </c>
      <c r="F42" s="1">
        <f t="shared" si="0"/>
        <v>90000</v>
      </c>
      <c r="G42" s="1">
        <f t="shared" si="1"/>
        <v>0</v>
      </c>
      <c r="H42" s="24"/>
      <c r="I42" s="20"/>
    </row>
    <row r="43" spans="1:9" ht="31.5" customHeight="1" x14ac:dyDescent="0.25">
      <c r="A43" s="20"/>
      <c r="B43" s="2" t="s">
        <v>28</v>
      </c>
      <c r="C43" s="3">
        <v>299100</v>
      </c>
      <c r="D43" s="1">
        <v>0</v>
      </c>
      <c r="E43" s="1">
        <v>299100</v>
      </c>
      <c r="F43" s="1">
        <f t="shared" si="0"/>
        <v>299100</v>
      </c>
      <c r="G43" s="1">
        <f t="shared" si="1"/>
        <v>0</v>
      </c>
      <c r="H43" s="25" t="s">
        <v>172</v>
      </c>
      <c r="I43" s="24"/>
    </row>
    <row r="44" spans="1:9" ht="31.5" customHeight="1" x14ac:dyDescent="0.25">
      <c r="A44" s="20"/>
      <c r="B44" s="2" t="s">
        <v>29</v>
      </c>
      <c r="C44" s="3">
        <v>280020</v>
      </c>
      <c r="D44" s="1">
        <v>0</v>
      </c>
      <c r="E44" s="1">
        <v>280020</v>
      </c>
      <c r="F44" s="1">
        <f t="shared" si="0"/>
        <v>280020</v>
      </c>
      <c r="G44" s="1">
        <f t="shared" si="1"/>
        <v>0</v>
      </c>
      <c r="H44" s="26"/>
      <c r="I44" s="24"/>
    </row>
    <row r="45" spans="1:9" ht="31.5" customHeight="1" x14ac:dyDescent="0.25">
      <c r="A45" s="20"/>
      <c r="B45" s="2" t="s">
        <v>30</v>
      </c>
      <c r="C45" s="3">
        <v>265100</v>
      </c>
      <c r="D45" s="1">
        <v>0</v>
      </c>
      <c r="E45" s="1">
        <v>265100</v>
      </c>
      <c r="F45" s="1">
        <f t="shared" si="0"/>
        <v>265100</v>
      </c>
      <c r="G45" s="1">
        <f t="shared" si="1"/>
        <v>0</v>
      </c>
      <c r="H45" s="26"/>
      <c r="I45" s="24"/>
    </row>
    <row r="46" spans="1:9" ht="31.5" customHeight="1" x14ac:dyDescent="0.25">
      <c r="A46" s="20"/>
      <c r="B46" s="2" t="s">
        <v>31</v>
      </c>
      <c r="C46" s="3">
        <v>111520</v>
      </c>
      <c r="D46" s="1">
        <v>0</v>
      </c>
      <c r="E46" s="1">
        <v>111520</v>
      </c>
      <c r="F46" s="1">
        <f t="shared" si="0"/>
        <v>111520</v>
      </c>
      <c r="G46" s="1">
        <f t="shared" si="1"/>
        <v>0</v>
      </c>
      <c r="H46" s="27"/>
      <c r="I46" s="24"/>
    </row>
    <row r="47" spans="1:9" ht="47.25" x14ac:dyDescent="0.25">
      <c r="A47" s="20"/>
      <c r="B47" s="2" t="s">
        <v>32</v>
      </c>
      <c r="C47" s="3">
        <v>101960</v>
      </c>
      <c r="D47" s="1">
        <f>25490*4</f>
        <v>101960</v>
      </c>
      <c r="E47" s="1">
        <v>0</v>
      </c>
      <c r="F47" s="1">
        <f t="shared" si="0"/>
        <v>101960</v>
      </c>
      <c r="G47" s="1">
        <f t="shared" si="1"/>
        <v>0</v>
      </c>
      <c r="H47" s="4" t="s">
        <v>88</v>
      </c>
      <c r="I47" s="20"/>
    </row>
    <row r="48" spans="1:9" x14ac:dyDescent="0.25">
      <c r="A48" s="6">
        <v>3</v>
      </c>
      <c r="B48" s="7" t="s">
        <v>33</v>
      </c>
      <c r="C48" s="8">
        <f>C49+C64+C71+C78+C92+C99+C117+C121+C137</f>
        <v>11390252</v>
      </c>
      <c r="D48" s="9">
        <f>D49+D64+D71+D78+D92+D99+D117+D121+D137</f>
        <v>7931536</v>
      </c>
      <c r="E48" s="9">
        <f>E49+E64+E71+E78+E92+E99+E117+E121+E137</f>
        <v>311000</v>
      </c>
      <c r="F48" s="9">
        <f t="shared" si="0"/>
        <v>8242536</v>
      </c>
      <c r="G48" s="9">
        <f t="shared" si="1"/>
        <v>3147716</v>
      </c>
      <c r="H48" s="10"/>
      <c r="I48" s="6"/>
    </row>
    <row r="49" spans="1:10" ht="31.5" x14ac:dyDescent="0.25">
      <c r="A49" s="6"/>
      <c r="B49" s="7" t="s">
        <v>120</v>
      </c>
      <c r="C49" s="8">
        <f>C50+C57+C60</f>
        <v>808120</v>
      </c>
      <c r="D49" s="9">
        <f>D50+D57+D60</f>
        <v>606768</v>
      </c>
      <c r="E49" s="9">
        <v>0</v>
      </c>
      <c r="F49" s="9">
        <f t="shared" si="0"/>
        <v>606768</v>
      </c>
      <c r="G49" s="9">
        <f t="shared" si="1"/>
        <v>201352</v>
      </c>
      <c r="H49" s="10"/>
      <c r="I49" s="6"/>
    </row>
    <row r="50" spans="1:10" ht="31.5" x14ac:dyDescent="0.25">
      <c r="A50" s="6"/>
      <c r="B50" s="7" t="s">
        <v>34</v>
      </c>
      <c r="C50" s="8">
        <f>SUM(C51:C56)</f>
        <v>388920</v>
      </c>
      <c r="D50" s="9">
        <f>SUM(D51:D56)</f>
        <v>287568</v>
      </c>
      <c r="E50" s="9">
        <v>0</v>
      </c>
      <c r="F50" s="9">
        <f t="shared" si="0"/>
        <v>287568</v>
      </c>
      <c r="G50" s="9">
        <f t="shared" si="1"/>
        <v>101352</v>
      </c>
      <c r="H50" s="10"/>
      <c r="I50" s="6"/>
    </row>
    <row r="51" spans="1:10" ht="47.25" x14ac:dyDescent="0.25">
      <c r="A51" s="20"/>
      <c r="B51" s="2" t="s">
        <v>121</v>
      </c>
      <c r="C51" s="3">
        <v>33336</v>
      </c>
      <c r="D51" s="1">
        <f>(2778*2)*2*3</f>
        <v>33336</v>
      </c>
      <c r="E51" s="1">
        <v>0</v>
      </c>
      <c r="F51" s="1">
        <f t="shared" si="0"/>
        <v>33336</v>
      </c>
      <c r="G51" s="1">
        <f t="shared" si="1"/>
        <v>0</v>
      </c>
      <c r="H51" s="20" t="s">
        <v>89</v>
      </c>
      <c r="I51" s="20"/>
    </row>
    <row r="52" spans="1:10" ht="79.900000000000006" customHeight="1" x14ac:dyDescent="0.25">
      <c r="A52" s="20"/>
      <c r="B52" s="2" t="s">
        <v>122</v>
      </c>
      <c r="C52" s="3">
        <v>66672</v>
      </c>
      <c r="D52" s="1">
        <f>(2778*6)*2*2</f>
        <v>66672</v>
      </c>
      <c r="E52" s="1">
        <v>0</v>
      </c>
      <c r="F52" s="1">
        <f t="shared" si="0"/>
        <v>66672</v>
      </c>
      <c r="G52" s="1">
        <f t="shared" si="1"/>
        <v>0</v>
      </c>
      <c r="H52" s="20" t="s">
        <v>161</v>
      </c>
      <c r="I52" s="20"/>
    </row>
    <row r="53" spans="1:10" ht="47.25" x14ac:dyDescent="0.25">
      <c r="A53" s="20"/>
      <c r="B53" s="2" t="s">
        <v>123</v>
      </c>
      <c r="C53" s="3">
        <v>33336</v>
      </c>
      <c r="D53" s="1">
        <f>(2778*2)*2*2</f>
        <v>22224</v>
      </c>
      <c r="E53" s="1">
        <v>0</v>
      </c>
      <c r="F53" s="1">
        <f t="shared" si="0"/>
        <v>22224</v>
      </c>
      <c r="G53" s="1">
        <f t="shared" si="1"/>
        <v>11112</v>
      </c>
      <c r="H53" s="20" t="s">
        <v>89</v>
      </c>
      <c r="I53" s="20" t="s">
        <v>159</v>
      </c>
    </row>
    <row r="54" spans="1:10" ht="47.25" x14ac:dyDescent="0.25">
      <c r="A54" s="20"/>
      <c r="B54" s="2" t="s">
        <v>124</v>
      </c>
      <c r="C54" s="3">
        <v>66672</v>
      </c>
      <c r="D54" s="1">
        <v>66000</v>
      </c>
      <c r="E54" s="1">
        <v>0</v>
      </c>
      <c r="F54" s="1">
        <f t="shared" si="0"/>
        <v>66000</v>
      </c>
      <c r="G54" s="1">
        <f t="shared" si="1"/>
        <v>672</v>
      </c>
      <c r="H54" s="4" t="s">
        <v>162</v>
      </c>
      <c r="I54" s="20"/>
      <c r="J54" s="5" t="s">
        <v>151</v>
      </c>
    </row>
    <row r="55" spans="1:10" ht="47.25" x14ac:dyDescent="0.25">
      <c r="A55" s="20"/>
      <c r="B55" s="2" t="s">
        <v>125</v>
      </c>
      <c r="C55" s="3">
        <v>55560</v>
      </c>
      <c r="D55" s="1">
        <f>(2778*2)*2*3</f>
        <v>33336</v>
      </c>
      <c r="E55" s="1">
        <v>0</v>
      </c>
      <c r="F55" s="1">
        <f t="shared" si="0"/>
        <v>33336</v>
      </c>
      <c r="G55" s="1">
        <f t="shared" si="1"/>
        <v>22224</v>
      </c>
      <c r="H55" s="20" t="s">
        <v>157</v>
      </c>
      <c r="I55" s="20" t="s">
        <v>159</v>
      </c>
    </row>
    <row r="56" spans="1:10" ht="78.75" x14ac:dyDescent="0.25">
      <c r="A56" s="20"/>
      <c r="B56" s="2" t="s">
        <v>126</v>
      </c>
      <c r="C56" s="3">
        <v>133344</v>
      </c>
      <c r="D56" s="1">
        <f>(16500*2)+ (16500*2)</f>
        <v>66000</v>
      </c>
      <c r="E56" s="1">
        <v>0</v>
      </c>
      <c r="F56" s="1">
        <f t="shared" si="0"/>
        <v>66000</v>
      </c>
      <c r="G56" s="1">
        <f t="shared" si="1"/>
        <v>67344</v>
      </c>
      <c r="H56" s="4" t="s">
        <v>163</v>
      </c>
      <c r="I56" s="20" t="s">
        <v>158</v>
      </c>
    </row>
    <row r="57" spans="1:10" ht="63" x14ac:dyDescent="0.25">
      <c r="A57" s="6"/>
      <c r="B57" s="7" t="s">
        <v>127</v>
      </c>
      <c r="C57" s="8">
        <f>SUM(C58:C59)</f>
        <v>400000</v>
      </c>
      <c r="D57" s="9">
        <f>SUM(D58:D59)</f>
        <v>300000</v>
      </c>
      <c r="E57" s="9">
        <v>0</v>
      </c>
      <c r="F57" s="9">
        <f t="shared" si="0"/>
        <v>300000</v>
      </c>
      <c r="G57" s="9">
        <f t="shared" si="1"/>
        <v>100000</v>
      </c>
      <c r="H57" s="10"/>
      <c r="I57" s="6"/>
    </row>
    <row r="58" spans="1:10" ht="31.5" x14ac:dyDescent="0.25">
      <c r="A58" s="20"/>
      <c r="B58" s="2" t="s">
        <v>35</v>
      </c>
      <c r="C58" s="3">
        <v>300000</v>
      </c>
      <c r="D58" s="1">
        <v>300000</v>
      </c>
      <c r="E58" s="1">
        <v>0</v>
      </c>
      <c r="F58" s="1">
        <f t="shared" si="0"/>
        <v>300000</v>
      </c>
      <c r="G58" s="1">
        <f t="shared" si="1"/>
        <v>0</v>
      </c>
      <c r="H58" s="4" t="s">
        <v>82</v>
      </c>
      <c r="I58" s="20"/>
    </row>
    <row r="59" spans="1:10" ht="47.25" x14ac:dyDescent="0.25">
      <c r="A59" s="20"/>
      <c r="B59" s="2" t="s">
        <v>128</v>
      </c>
      <c r="C59" s="3">
        <v>100000</v>
      </c>
      <c r="D59" s="1">
        <v>0</v>
      </c>
      <c r="E59" s="1">
        <v>0</v>
      </c>
      <c r="F59" s="1">
        <f t="shared" si="0"/>
        <v>0</v>
      </c>
      <c r="G59" s="1">
        <f t="shared" si="1"/>
        <v>100000</v>
      </c>
      <c r="H59" s="4"/>
      <c r="I59" s="20" t="s">
        <v>159</v>
      </c>
    </row>
    <row r="60" spans="1:10" ht="31.5" x14ac:dyDescent="0.25">
      <c r="A60" s="6"/>
      <c r="B60" s="7" t="s">
        <v>36</v>
      </c>
      <c r="C60" s="8">
        <f>SUM(C61:C63)</f>
        <v>19200</v>
      </c>
      <c r="D60" s="9">
        <f>SUM(D61:D63)</f>
        <v>19200</v>
      </c>
      <c r="E60" s="9">
        <v>0</v>
      </c>
      <c r="F60" s="9">
        <f t="shared" si="0"/>
        <v>19200</v>
      </c>
      <c r="G60" s="9">
        <f t="shared" si="1"/>
        <v>0</v>
      </c>
      <c r="H60" s="18"/>
      <c r="I60" s="6"/>
    </row>
    <row r="61" spans="1:10" ht="31.5" customHeight="1" x14ac:dyDescent="0.25">
      <c r="A61" s="20"/>
      <c r="B61" s="2" t="s">
        <v>129</v>
      </c>
      <c r="C61" s="3">
        <v>4800</v>
      </c>
      <c r="D61" s="1">
        <v>4800</v>
      </c>
      <c r="E61" s="1">
        <v>0</v>
      </c>
      <c r="F61" s="1">
        <f t="shared" si="0"/>
        <v>4800</v>
      </c>
      <c r="G61" s="1">
        <f t="shared" si="1"/>
        <v>0</v>
      </c>
      <c r="H61" s="24" t="s">
        <v>86</v>
      </c>
      <c r="I61" s="20"/>
    </row>
    <row r="62" spans="1:10" x14ac:dyDescent="0.25">
      <c r="A62" s="20"/>
      <c r="B62" s="2" t="s">
        <v>40</v>
      </c>
      <c r="C62" s="3">
        <v>10000</v>
      </c>
      <c r="D62" s="1">
        <v>10000</v>
      </c>
      <c r="E62" s="1">
        <v>0</v>
      </c>
      <c r="F62" s="1">
        <f t="shared" si="0"/>
        <v>10000</v>
      </c>
      <c r="G62" s="1">
        <f t="shared" si="1"/>
        <v>0</v>
      </c>
      <c r="H62" s="24"/>
      <c r="I62" s="20"/>
    </row>
    <row r="63" spans="1:10" x14ac:dyDescent="0.25">
      <c r="A63" s="20"/>
      <c r="B63" s="2" t="s">
        <v>37</v>
      </c>
      <c r="C63" s="3">
        <v>4400</v>
      </c>
      <c r="D63" s="1">
        <v>4400</v>
      </c>
      <c r="E63" s="1">
        <v>0</v>
      </c>
      <c r="F63" s="1">
        <f t="shared" si="0"/>
        <v>4400</v>
      </c>
      <c r="G63" s="1">
        <f t="shared" si="1"/>
        <v>0</v>
      </c>
      <c r="H63" s="24"/>
      <c r="I63" s="20"/>
    </row>
    <row r="64" spans="1:10" ht="47.25" x14ac:dyDescent="0.25">
      <c r="A64" s="6"/>
      <c r="B64" s="7" t="s">
        <v>38</v>
      </c>
      <c r="C64" s="8">
        <f>C65</f>
        <v>66900</v>
      </c>
      <c r="D64" s="9">
        <f>D65</f>
        <v>66270</v>
      </c>
      <c r="E64" s="9">
        <v>0</v>
      </c>
      <c r="F64" s="9">
        <f t="shared" si="0"/>
        <v>66270</v>
      </c>
      <c r="G64" s="9">
        <f t="shared" si="1"/>
        <v>630</v>
      </c>
      <c r="H64" s="10"/>
      <c r="I64" s="6"/>
    </row>
    <row r="65" spans="1:9" ht="31.5" x14ac:dyDescent="0.25">
      <c r="A65" s="6"/>
      <c r="B65" s="7" t="s">
        <v>39</v>
      </c>
      <c r="C65" s="8">
        <f>SUM(C66:C70)</f>
        <v>66900</v>
      </c>
      <c r="D65" s="9">
        <f>D66+D67+D68+D69+D70</f>
        <v>66270</v>
      </c>
      <c r="E65" s="9">
        <v>0</v>
      </c>
      <c r="F65" s="9">
        <f t="shared" si="0"/>
        <v>66270</v>
      </c>
      <c r="G65" s="9">
        <f t="shared" si="1"/>
        <v>630</v>
      </c>
      <c r="H65" s="18"/>
      <c r="I65" s="6"/>
    </row>
    <row r="66" spans="1:9" ht="31.5" customHeight="1" x14ac:dyDescent="0.25">
      <c r="A66" s="20"/>
      <c r="B66" s="2" t="s">
        <v>129</v>
      </c>
      <c r="C66" s="3">
        <v>4800</v>
      </c>
      <c r="D66" s="1">
        <v>4800</v>
      </c>
      <c r="E66" s="1">
        <v>0</v>
      </c>
      <c r="F66" s="1">
        <f t="shared" si="0"/>
        <v>4800</v>
      </c>
      <c r="G66" s="1">
        <f t="shared" si="1"/>
        <v>0</v>
      </c>
      <c r="H66" s="24" t="s">
        <v>94</v>
      </c>
      <c r="I66" s="20"/>
    </row>
    <row r="67" spans="1:9" x14ac:dyDescent="0.25">
      <c r="A67" s="20"/>
      <c r="B67" s="2" t="s">
        <v>40</v>
      </c>
      <c r="C67" s="3">
        <v>10000</v>
      </c>
      <c r="D67" s="1">
        <v>10000</v>
      </c>
      <c r="E67" s="1">
        <v>0</v>
      </c>
      <c r="F67" s="1">
        <f t="shared" si="0"/>
        <v>10000</v>
      </c>
      <c r="G67" s="1">
        <f t="shared" si="1"/>
        <v>0</v>
      </c>
      <c r="H67" s="24"/>
      <c r="I67" s="20"/>
    </row>
    <row r="68" spans="1:9" x14ac:dyDescent="0.25">
      <c r="A68" s="20"/>
      <c r="B68" s="2" t="s">
        <v>41</v>
      </c>
      <c r="C68" s="3">
        <v>4800</v>
      </c>
      <c r="D68" s="1">
        <v>4800</v>
      </c>
      <c r="E68" s="1">
        <v>0</v>
      </c>
      <c r="F68" s="1">
        <f t="shared" si="0"/>
        <v>4800</v>
      </c>
      <c r="G68" s="1">
        <f t="shared" si="1"/>
        <v>0</v>
      </c>
      <c r="H68" s="24"/>
      <c r="I68" s="20"/>
    </row>
    <row r="69" spans="1:9" x14ac:dyDescent="0.25">
      <c r="A69" s="20"/>
      <c r="B69" s="2" t="s">
        <v>42</v>
      </c>
      <c r="C69" s="3">
        <v>5600</v>
      </c>
      <c r="D69" s="1">
        <v>5600</v>
      </c>
      <c r="E69" s="1">
        <v>0</v>
      </c>
      <c r="F69" s="1">
        <f t="shared" si="0"/>
        <v>5600</v>
      </c>
      <c r="G69" s="1">
        <f t="shared" si="1"/>
        <v>0</v>
      </c>
      <c r="H69" s="24"/>
      <c r="I69" s="20"/>
    </row>
    <row r="70" spans="1:9" ht="78.75" x14ac:dyDescent="0.25">
      <c r="A70" s="20"/>
      <c r="B70" s="2" t="s">
        <v>43</v>
      </c>
      <c r="C70" s="3">
        <v>41700</v>
      </c>
      <c r="D70" s="1">
        <f>36900+4170</f>
        <v>41070</v>
      </c>
      <c r="E70" s="1">
        <v>0</v>
      </c>
      <c r="F70" s="1">
        <f t="shared" si="0"/>
        <v>41070</v>
      </c>
      <c r="G70" s="1">
        <f t="shared" si="1"/>
        <v>630</v>
      </c>
      <c r="H70" s="4" t="s">
        <v>153</v>
      </c>
      <c r="I70" s="20"/>
    </row>
    <row r="71" spans="1:9" s="11" customFormat="1" ht="47.25" x14ac:dyDescent="0.25">
      <c r="A71" s="6"/>
      <c r="B71" s="7" t="s">
        <v>130</v>
      </c>
      <c r="C71" s="8">
        <f>C72</f>
        <v>1816000</v>
      </c>
      <c r="D71" s="9">
        <f>D72</f>
        <v>804000</v>
      </c>
      <c r="E71" s="9">
        <f>E72</f>
        <v>14500</v>
      </c>
      <c r="F71" s="9">
        <f t="shared" si="0"/>
        <v>818500</v>
      </c>
      <c r="G71" s="9">
        <f t="shared" si="1"/>
        <v>997500</v>
      </c>
      <c r="H71" s="10"/>
      <c r="I71" s="6"/>
    </row>
    <row r="72" spans="1:9" s="11" customFormat="1" ht="63" x14ac:dyDescent="0.25">
      <c r="A72" s="6"/>
      <c r="B72" s="7" t="s">
        <v>127</v>
      </c>
      <c r="C72" s="8">
        <f>SUM(C73:C77)</f>
        <v>1816000</v>
      </c>
      <c r="D72" s="9">
        <f>D73+D74+D75+D76+D77</f>
        <v>804000</v>
      </c>
      <c r="E72" s="9">
        <f>E75</f>
        <v>14500</v>
      </c>
      <c r="F72" s="9">
        <f t="shared" si="0"/>
        <v>818500</v>
      </c>
      <c r="G72" s="9">
        <f t="shared" si="1"/>
        <v>997500</v>
      </c>
      <c r="H72" s="10"/>
      <c r="I72" s="6"/>
    </row>
    <row r="73" spans="1:9" ht="110.25" x14ac:dyDescent="0.25">
      <c r="A73" s="20"/>
      <c r="B73" s="2" t="s">
        <v>131</v>
      </c>
      <c r="C73" s="3">
        <v>400000</v>
      </c>
      <c r="D73" s="1">
        <v>400000</v>
      </c>
      <c r="E73" s="1">
        <v>0</v>
      </c>
      <c r="F73" s="1">
        <f t="shared" si="0"/>
        <v>400000</v>
      </c>
      <c r="G73" s="1">
        <f t="shared" si="1"/>
        <v>0</v>
      </c>
      <c r="H73" s="4" t="s">
        <v>102</v>
      </c>
      <c r="I73" s="20"/>
    </row>
    <row r="74" spans="1:9" ht="31.5" x14ac:dyDescent="0.25">
      <c r="A74" s="20"/>
      <c r="B74" s="2" t="s">
        <v>132</v>
      </c>
      <c r="C74" s="3">
        <v>400000</v>
      </c>
      <c r="D74" s="1">
        <v>174000</v>
      </c>
      <c r="E74" s="1">
        <v>0</v>
      </c>
      <c r="F74" s="1">
        <f t="shared" si="0"/>
        <v>174000</v>
      </c>
      <c r="G74" s="1">
        <f t="shared" si="1"/>
        <v>226000</v>
      </c>
      <c r="H74" s="4" t="s">
        <v>154</v>
      </c>
      <c r="I74" s="20" t="s">
        <v>83</v>
      </c>
    </row>
    <row r="75" spans="1:9" ht="63" x14ac:dyDescent="0.25">
      <c r="A75" s="20"/>
      <c r="B75" s="2" t="s">
        <v>133</v>
      </c>
      <c r="C75" s="3">
        <v>400000</v>
      </c>
      <c r="D75" s="1">
        <f>14500+14500</f>
        <v>29000</v>
      </c>
      <c r="E75" s="1">
        <v>14500</v>
      </c>
      <c r="F75" s="1">
        <f t="shared" ref="F75:F138" si="2">D75+E75</f>
        <v>43500</v>
      </c>
      <c r="G75" s="1">
        <f t="shared" ref="G75:G138" si="3">C75-F75</f>
        <v>356500</v>
      </c>
      <c r="H75" s="4" t="s">
        <v>167</v>
      </c>
      <c r="I75" s="20" t="s">
        <v>83</v>
      </c>
    </row>
    <row r="76" spans="1:9" ht="110.25" x14ac:dyDescent="0.25">
      <c r="A76" s="20"/>
      <c r="B76" s="2" t="s">
        <v>134</v>
      </c>
      <c r="C76" s="3">
        <v>400000</v>
      </c>
      <c r="D76" s="1">
        <v>201000</v>
      </c>
      <c r="E76" s="1">
        <v>0</v>
      </c>
      <c r="F76" s="1">
        <f t="shared" si="2"/>
        <v>201000</v>
      </c>
      <c r="G76" s="1">
        <f t="shared" si="3"/>
        <v>199000</v>
      </c>
      <c r="H76" s="4" t="s">
        <v>105</v>
      </c>
      <c r="I76" s="20" t="s">
        <v>83</v>
      </c>
    </row>
    <row r="77" spans="1:9" ht="31.5" x14ac:dyDescent="0.25">
      <c r="A77" s="20"/>
      <c r="B77" s="2" t="s">
        <v>44</v>
      </c>
      <c r="C77" s="3">
        <v>216000</v>
      </c>
      <c r="D77" s="1">
        <v>0</v>
      </c>
      <c r="E77" s="1">
        <v>0</v>
      </c>
      <c r="F77" s="1">
        <f t="shared" si="2"/>
        <v>0</v>
      </c>
      <c r="G77" s="1">
        <f t="shared" si="3"/>
        <v>216000</v>
      </c>
      <c r="H77" s="4"/>
      <c r="I77" s="20" t="s">
        <v>156</v>
      </c>
    </row>
    <row r="78" spans="1:9" ht="63" x14ac:dyDescent="0.25">
      <c r="A78" s="6"/>
      <c r="B78" s="7" t="s">
        <v>135</v>
      </c>
      <c r="C78" s="8">
        <f>C79</f>
        <v>6124800</v>
      </c>
      <c r="D78" s="9">
        <f>D79</f>
        <v>4771500</v>
      </c>
      <c r="E78" s="9">
        <f>E79</f>
        <v>247500</v>
      </c>
      <c r="F78" s="9">
        <f t="shared" si="2"/>
        <v>5019000</v>
      </c>
      <c r="G78" s="9">
        <f t="shared" si="3"/>
        <v>1105800</v>
      </c>
      <c r="H78" s="10"/>
      <c r="I78" s="6"/>
    </row>
    <row r="79" spans="1:9" ht="63" x14ac:dyDescent="0.25">
      <c r="A79" s="6"/>
      <c r="B79" s="7" t="s">
        <v>127</v>
      </c>
      <c r="C79" s="8">
        <f>SUM(C80:C91)</f>
        <v>6124800</v>
      </c>
      <c r="D79" s="9">
        <f>SUM(D80:D91)</f>
        <v>4771500</v>
      </c>
      <c r="E79" s="9">
        <f>E84</f>
        <v>247500</v>
      </c>
      <c r="F79" s="9">
        <f t="shared" si="2"/>
        <v>5019000</v>
      </c>
      <c r="G79" s="9">
        <f t="shared" si="3"/>
        <v>1105800</v>
      </c>
      <c r="H79" s="10"/>
      <c r="I79" s="6"/>
    </row>
    <row r="80" spans="1:9" ht="63" customHeight="1" x14ac:dyDescent="0.25">
      <c r="A80" s="20"/>
      <c r="B80" s="2" t="s">
        <v>45</v>
      </c>
      <c r="C80" s="3">
        <v>900000</v>
      </c>
      <c r="D80" s="1">
        <f>300000*3</f>
        <v>900000</v>
      </c>
      <c r="E80" s="1">
        <v>-3000</v>
      </c>
      <c r="F80" s="1">
        <f t="shared" si="2"/>
        <v>897000</v>
      </c>
      <c r="G80" s="1">
        <f t="shared" si="3"/>
        <v>3000</v>
      </c>
      <c r="H80" s="4" t="s">
        <v>187</v>
      </c>
      <c r="I80" s="2" t="s">
        <v>199</v>
      </c>
    </row>
    <row r="81" spans="1:9" ht="61.9" customHeight="1" x14ac:dyDescent="0.25">
      <c r="A81" s="20"/>
      <c r="B81" s="2" t="s">
        <v>46</v>
      </c>
      <c r="C81" s="3">
        <v>900000</v>
      </c>
      <c r="D81" s="1">
        <v>900000</v>
      </c>
      <c r="E81" s="1">
        <v>-15000</v>
      </c>
      <c r="F81" s="1">
        <f t="shared" si="2"/>
        <v>885000</v>
      </c>
      <c r="G81" s="1">
        <f t="shared" si="3"/>
        <v>15000</v>
      </c>
      <c r="H81" s="4" t="s">
        <v>188</v>
      </c>
      <c r="I81" s="4" t="s">
        <v>198</v>
      </c>
    </row>
    <row r="82" spans="1:9" ht="58.9" customHeight="1" x14ac:dyDescent="0.25">
      <c r="A82" s="20"/>
      <c r="B82" s="2" t="s">
        <v>136</v>
      </c>
      <c r="C82" s="3">
        <v>900000</v>
      </c>
      <c r="D82" s="1">
        <v>900000</v>
      </c>
      <c r="E82" s="1">
        <v>0</v>
      </c>
      <c r="F82" s="1">
        <f t="shared" si="2"/>
        <v>900000</v>
      </c>
      <c r="G82" s="1">
        <f t="shared" si="3"/>
        <v>0</v>
      </c>
      <c r="H82" s="4" t="s">
        <v>160</v>
      </c>
      <c r="I82" s="4"/>
    </row>
    <row r="83" spans="1:9" ht="64.5" customHeight="1" x14ac:dyDescent="0.25">
      <c r="A83" s="20"/>
      <c r="B83" s="2" t="s">
        <v>47</v>
      </c>
      <c r="C83" s="3">
        <v>1200000</v>
      </c>
      <c r="D83" s="1">
        <v>1200000</v>
      </c>
      <c r="E83" s="1">
        <v>-3000</v>
      </c>
      <c r="F83" s="1">
        <f t="shared" si="2"/>
        <v>1197000</v>
      </c>
      <c r="G83" s="1">
        <f t="shared" si="3"/>
        <v>3000</v>
      </c>
      <c r="H83" s="4" t="s">
        <v>189</v>
      </c>
      <c r="I83" s="4" t="s">
        <v>196</v>
      </c>
    </row>
    <row r="84" spans="1:9" ht="189" x14ac:dyDescent="0.25">
      <c r="A84" s="20"/>
      <c r="B84" s="2" t="s">
        <v>48</v>
      </c>
      <c r="C84" s="3">
        <v>600000</v>
      </c>
      <c r="D84" s="1">
        <v>25000</v>
      </c>
      <c r="E84" s="1">
        <f>25000+25000+25000+25000+25000+25000+25000+25000+25000+25000-2500</f>
        <v>247500</v>
      </c>
      <c r="F84" s="1">
        <f t="shared" si="2"/>
        <v>272500</v>
      </c>
      <c r="G84" s="1">
        <f t="shared" si="3"/>
        <v>327500</v>
      </c>
      <c r="H84" s="4" t="s">
        <v>186</v>
      </c>
      <c r="I84" s="20" t="s">
        <v>197</v>
      </c>
    </row>
    <row r="85" spans="1:9" ht="31.5" x14ac:dyDescent="0.25">
      <c r="A85" s="20"/>
      <c r="B85" s="2" t="s">
        <v>49</v>
      </c>
      <c r="C85" s="3">
        <v>150000</v>
      </c>
      <c r="D85" s="1">
        <v>150000</v>
      </c>
      <c r="E85" s="1">
        <v>0</v>
      </c>
      <c r="F85" s="1">
        <f t="shared" si="2"/>
        <v>150000</v>
      </c>
      <c r="G85" s="1">
        <f t="shared" si="3"/>
        <v>0</v>
      </c>
      <c r="H85" s="4" t="s">
        <v>100</v>
      </c>
      <c r="I85" s="20"/>
    </row>
    <row r="86" spans="1:9" ht="31.5" x14ac:dyDescent="0.25">
      <c r="A86" s="20"/>
      <c r="B86" s="2" t="s">
        <v>137</v>
      </c>
      <c r="C86" s="3">
        <v>100000</v>
      </c>
      <c r="D86" s="1">
        <v>4500</v>
      </c>
      <c r="E86" s="1">
        <v>0</v>
      </c>
      <c r="F86" s="1">
        <f t="shared" si="2"/>
        <v>4500</v>
      </c>
      <c r="G86" s="1">
        <f t="shared" si="3"/>
        <v>95500</v>
      </c>
      <c r="H86" s="4" t="s">
        <v>104</v>
      </c>
      <c r="I86" s="20"/>
    </row>
    <row r="87" spans="1:9" ht="63" x14ac:dyDescent="0.25">
      <c r="A87" s="20"/>
      <c r="B87" s="2" t="s">
        <v>138</v>
      </c>
      <c r="C87" s="3">
        <v>328000</v>
      </c>
      <c r="D87" s="1">
        <f>164000+328000</f>
        <v>492000</v>
      </c>
      <c r="E87" s="1">
        <v>0</v>
      </c>
      <c r="F87" s="1">
        <f t="shared" si="2"/>
        <v>492000</v>
      </c>
      <c r="G87" s="1">
        <f t="shared" si="3"/>
        <v>-164000</v>
      </c>
      <c r="H87" s="4" t="s">
        <v>93</v>
      </c>
      <c r="I87" s="20"/>
    </row>
    <row r="88" spans="1:9" ht="39.6" customHeight="1" x14ac:dyDescent="0.25">
      <c r="A88" s="20"/>
      <c r="B88" s="2" t="s">
        <v>139</v>
      </c>
      <c r="C88" s="3">
        <v>806800</v>
      </c>
      <c r="D88" s="1">
        <v>0</v>
      </c>
      <c r="E88" s="1">
        <v>0</v>
      </c>
      <c r="F88" s="1">
        <f t="shared" si="2"/>
        <v>0</v>
      </c>
      <c r="G88" s="1">
        <f t="shared" si="3"/>
        <v>806800</v>
      </c>
      <c r="H88" s="4"/>
      <c r="I88" s="20" t="s">
        <v>156</v>
      </c>
    </row>
    <row r="89" spans="1:9" ht="47.25" x14ac:dyDescent="0.25">
      <c r="A89" s="20"/>
      <c r="B89" s="2" t="s">
        <v>140</v>
      </c>
      <c r="C89" s="3">
        <v>120000</v>
      </c>
      <c r="D89" s="1">
        <v>120000</v>
      </c>
      <c r="E89" s="1">
        <v>0</v>
      </c>
      <c r="F89" s="1">
        <f t="shared" si="2"/>
        <v>120000</v>
      </c>
      <c r="G89" s="1">
        <f t="shared" si="3"/>
        <v>0</v>
      </c>
      <c r="H89" s="4" t="s">
        <v>92</v>
      </c>
      <c r="I89" s="20"/>
    </row>
    <row r="90" spans="1:9" ht="31.5" x14ac:dyDescent="0.25">
      <c r="A90" s="20"/>
      <c r="B90" s="2" t="s">
        <v>50</v>
      </c>
      <c r="C90" s="3">
        <v>40000</v>
      </c>
      <c r="D90" s="1">
        <v>0</v>
      </c>
      <c r="E90" s="1">
        <v>0</v>
      </c>
      <c r="F90" s="1">
        <f t="shared" si="2"/>
        <v>0</v>
      </c>
      <c r="G90" s="1">
        <f t="shared" si="3"/>
        <v>40000</v>
      </c>
      <c r="H90" s="4"/>
      <c r="I90" s="20" t="s">
        <v>156</v>
      </c>
    </row>
    <row r="91" spans="1:9" ht="31.5" x14ac:dyDescent="0.25">
      <c r="A91" s="20"/>
      <c r="B91" s="2" t="s">
        <v>141</v>
      </c>
      <c r="C91" s="3">
        <v>80000</v>
      </c>
      <c r="D91" s="1">
        <v>80000</v>
      </c>
      <c r="E91" s="1">
        <v>0</v>
      </c>
      <c r="F91" s="1">
        <f t="shared" si="2"/>
        <v>80000</v>
      </c>
      <c r="G91" s="1">
        <f t="shared" si="3"/>
        <v>0</v>
      </c>
      <c r="H91" s="4" t="s">
        <v>155</v>
      </c>
      <c r="I91" s="20"/>
    </row>
    <row r="92" spans="1:9" s="11" customFormat="1" ht="63" x14ac:dyDescent="0.25">
      <c r="A92" s="6"/>
      <c r="B92" s="7" t="s">
        <v>142</v>
      </c>
      <c r="C92" s="8">
        <f>C93</f>
        <v>52200</v>
      </c>
      <c r="D92" s="9">
        <f>D93</f>
        <v>12300</v>
      </c>
      <c r="E92" s="9">
        <f>E93</f>
        <v>35000</v>
      </c>
      <c r="F92" s="9">
        <f t="shared" si="2"/>
        <v>47300</v>
      </c>
      <c r="G92" s="9">
        <f t="shared" si="3"/>
        <v>4900</v>
      </c>
      <c r="H92" s="10"/>
      <c r="I92" s="6"/>
    </row>
    <row r="93" spans="1:9" s="11" customFormat="1" ht="31.5" x14ac:dyDescent="0.25">
      <c r="A93" s="6"/>
      <c r="B93" s="7" t="s">
        <v>143</v>
      </c>
      <c r="C93" s="8">
        <f>SUM(C94:C98)</f>
        <v>52200</v>
      </c>
      <c r="D93" s="9">
        <f>D94+D95+D96+D97+D98</f>
        <v>12300</v>
      </c>
      <c r="E93" s="9">
        <f>E94+E95+E96+E97</f>
        <v>35000</v>
      </c>
      <c r="F93" s="9">
        <f t="shared" si="2"/>
        <v>47300</v>
      </c>
      <c r="G93" s="9">
        <f t="shared" si="3"/>
        <v>4900</v>
      </c>
      <c r="H93" s="10"/>
      <c r="I93" s="6"/>
    </row>
    <row r="94" spans="1:9" ht="31.5" customHeight="1" x14ac:dyDescent="0.25">
      <c r="A94" s="20"/>
      <c r="B94" s="2" t="s">
        <v>129</v>
      </c>
      <c r="C94" s="3">
        <v>12000</v>
      </c>
      <c r="D94" s="1">
        <v>0</v>
      </c>
      <c r="E94" s="1">
        <v>12000</v>
      </c>
      <c r="F94" s="1">
        <f t="shared" si="2"/>
        <v>12000</v>
      </c>
      <c r="G94" s="1">
        <f t="shared" si="3"/>
        <v>0</v>
      </c>
      <c r="H94" s="25" t="s">
        <v>164</v>
      </c>
      <c r="I94" s="24"/>
    </row>
    <row r="95" spans="1:9" ht="31.5" customHeight="1" x14ac:dyDescent="0.25">
      <c r="A95" s="20"/>
      <c r="B95" s="2" t="s">
        <v>40</v>
      </c>
      <c r="C95" s="3">
        <v>25000</v>
      </c>
      <c r="D95" s="1">
        <v>0</v>
      </c>
      <c r="E95" s="1">
        <v>14000</v>
      </c>
      <c r="F95" s="1">
        <f t="shared" si="2"/>
        <v>14000</v>
      </c>
      <c r="G95" s="1">
        <f t="shared" si="3"/>
        <v>11000</v>
      </c>
      <c r="H95" s="26"/>
      <c r="I95" s="24"/>
    </row>
    <row r="96" spans="1:9" ht="31.5" customHeight="1" x14ac:dyDescent="0.25">
      <c r="A96" s="20"/>
      <c r="B96" s="2" t="s">
        <v>41</v>
      </c>
      <c r="C96" s="3">
        <v>4800</v>
      </c>
      <c r="D96" s="1">
        <v>0</v>
      </c>
      <c r="E96" s="1">
        <v>4000</v>
      </c>
      <c r="F96" s="1">
        <f t="shared" si="2"/>
        <v>4000</v>
      </c>
      <c r="G96" s="1">
        <f t="shared" si="3"/>
        <v>800</v>
      </c>
      <c r="H96" s="26"/>
      <c r="I96" s="24"/>
    </row>
    <row r="97" spans="1:9" ht="31.5" customHeight="1" x14ac:dyDescent="0.25">
      <c r="A97" s="20"/>
      <c r="B97" s="2" t="s">
        <v>42</v>
      </c>
      <c r="C97" s="3">
        <v>5600</v>
      </c>
      <c r="D97" s="1">
        <v>0</v>
      </c>
      <c r="E97" s="1">
        <v>5000</v>
      </c>
      <c r="F97" s="1">
        <f t="shared" si="2"/>
        <v>5000</v>
      </c>
      <c r="G97" s="1">
        <f t="shared" si="3"/>
        <v>600</v>
      </c>
      <c r="H97" s="27"/>
      <c r="I97" s="24"/>
    </row>
    <row r="98" spans="1:9" ht="47.25" x14ac:dyDescent="0.25">
      <c r="A98" s="20"/>
      <c r="B98" s="2" t="s">
        <v>43</v>
      </c>
      <c r="C98" s="3">
        <v>4800</v>
      </c>
      <c r="D98" s="1">
        <v>12300</v>
      </c>
      <c r="E98" s="1">
        <v>0</v>
      </c>
      <c r="F98" s="1">
        <f t="shared" si="2"/>
        <v>12300</v>
      </c>
      <c r="G98" s="1">
        <f t="shared" si="3"/>
        <v>-7500</v>
      </c>
      <c r="H98" s="4" t="s">
        <v>84</v>
      </c>
      <c r="I98" s="20"/>
    </row>
    <row r="99" spans="1:9" s="11" customFormat="1" ht="31.5" x14ac:dyDescent="0.25">
      <c r="A99" s="6"/>
      <c r="B99" s="7" t="s">
        <v>51</v>
      </c>
      <c r="C99" s="8">
        <f>C100+C108+C111+C113</f>
        <v>661362</v>
      </c>
      <c r="D99" s="9">
        <f>D100+D108+D111+D113</f>
        <v>660698</v>
      </c>
      <c r="E99" s="9">
        <v>0</v>
      </c>
      <c r="F99" s="9">
        <f t="shared" si="2"/>
        <v>660698</v>
      </c>
      <c r="G99" s="9">
        <f t="shared" si="3"/>
        <v>664</v>
      </c>
      <c r="H99" s="10"/>
      <c r="I99" s="6"/>
    </row>
    <row r="100" spans="1:9" s="11" customFormat="1" ht="31.5" x14ac:dyDescent="0.25">
      <c r="A100" s="6"/>
      <c r="B100" s="7" t="s">
        <v>52</v>
      </c>
      <c r="C100" s="8">
        <f>SUM(C101:C107)</f>
        <v>199354</v>
      </c>
      <c r="D100" s="9">
        <f>D101+D102+D103+D104+D105+D106+D107</f>
        <v>199362</v>
      </c>
      <c r="E100" s="9">
        <v>0</v>
      </c>
      <c r="F100" s="9">
        <f t="shared" si="2"/>
        <v>199362</v>
      </c>
      <c r="G100" s="9">
        <f t="shared" si="3"/>
        <v>-8</v>
      </c>
      <c r="H100" s="19"/>
      <c r="I100" s="6"/>
    </row>
    <row r="101" spans="1:9" x14ac:dyDescent="0.25">
      <c r="A101" s="20"/>
      <c r="B101" s="2" t="s">
        <v>53</v>
      </c>
      <c r="C101" s="3">
        <v>6000</v>
      </c>
      <c r="D101" s="1">
        <v>6000</v>
      </c>
      <c r="E101" s="1">
        <v>0</v>
      </c>
      <c r="F101" s="1">
        <f t="shared" si="2"/>
        <v>6000</v>
      </c>
      <c r="G101" s="1">
        <f t="shared" si="3"/>
        <v>0</v>
      </c>
      <c r="H101" s="24" t="s">
        <v>91</v>
      </c>
      <c r="I101" s="20"/>
    </row>
    <row r="102" spans="1:9" x14ac:dyDescent="0.25">
      <c r="A102" s="20"/>
      <c r="B102" s="2" t="s">
        <v>54</v>
      </c>
      <c r="C102" s="3">
        <v>20000</v>
      </c>
      <c r="D102" s="1">
        <v>20000</v>
      </c>
      <c r="E102" s="1">
        <v>0</v>
      </c>
      <c r="F102" s="1">
        <f t="shared" si="2"/>
        <v>20000</v>
      </c>
      <c r="G102" s="1">
        <f t="shared" si="3"/>
        <v>0</v>
      </c>
      <c r="H102" s="24"/>
      <c r="I102" s="20"/>
    </row>
    <row r="103" spans="1:9" x14ac:dyDescent="0.25">
      <c r="A103" s="20"/>
      <c r="B103" s="2" t="s">
        <v>55</v>
      </c>
      <c r="C103" s="3">
        <v>13722</v>
      </c>
      <c r="D103" s="1">
        <v>13722</v>
      </c>
      <c r="E103" s="1">
        <v>0</v>
      </c>
      <c r="F103" s="1">
        <f t="shared" si="2"/>
        <v>13722</v>
      </c>
      <c r="G103" s="1">
        <f t="shared" si="3"/>
        <v>0</v>
      </c>
      <c r="H103" s="24"/>
      <c r="I103" s="20"/>
    </row>
    <row r="104" spans="1:9" x14ac:dyDescent="0.25">
      <c r="A104" s="20"/>
      <c r="B104" s="2" t="s">
        <v>56</v>
      </c>
      <c r="C104" s="3">
        <v>7500</v>
      </c>
      <c r="D104" s="1">
        <v>7500</v>
      </c>
      <c r="E104" s="1">
        <v>0</v>
      </c>
      <c r="F104" s="1">
        <f t="shared" si="2"/>
        <v>7500</v>
      </c>
      <c r="G104" s="1">
        <f t="shared" si="3"/>
        <v>0</v>
      </c>
      <c r="H104" s="24"/>
      <c r="I104" s="20"/>
    </row>
    <row r="105" spans="1:9" x14ac:dyDescent="0.25">
      <c r="A105" s="20"/>
      <c r="B105" s="2" t="s">
        <v>57</v>
      </c>
      <c r="C105" s="3">
        <v>15240</v>
      </c>
      <c r="D105" s="1">
        <v>15240</v>
      </c>
      <c r="E105" s="1">
        <v>0</v>
      </c>
      <c r="F105" s="1">
        <f t="shared" si="2"/>
        <v>15240</v>
      </c>
      <c r="G105" s="1">
        <f t="shared" si="3"/>
        <v>0</v>
      </c>
      <c r="H105" s="24"/>
      <c r="I105" s="20"/>
    </row>
    <row r="106" spans="1:9" x14ac:dyDescent="0.25">
      <c r="A106" s="20"/>
      <c r="B106" s="2" t="s">
        <v>58</v>
      </c>
      <c r="C106" s="3">
        <v>98000</v>
      </c>
      <c r="D106" s="1">
        <v>98000</v>
      </c>
      <c r="E106" s="1">
        <v>0</v>
      </c>
      <c r="F106" s="1">
        <f t="shared" si="2"/>
        <v>98000</v>
      </c>
      <c r="G106" s="1">
        <f t="shared" si="3"/>
        <v>0</v>
      </c>
      <c r="H106" s="24"/>
      <c r="I106" s="20"/>
    </row>
    <row r="107" spans="1:9" x14ac:dyDescent="0.25">
      <c r="A107" s="20"/>
      <c r="B107" s="2" t="s">
        <v>59</v>
      </c>
      <c r="C107" s="3">
        <v>38892</v>
      </c>
      <c r="D107" s="1">
        <v>38900</v>
      </c>
      <c r="E107" s="1">
        <v>0</v>
      </c>
      <c r="F107" s="1">
        <f t="shared" si="2"/>
        <v>38900</v>
      </c>
      <c r="G107" s="1">
        <f t="shared" si="3"/>
        <v>-8</v>
      </c>
      <c r="H107" s="24"/>
      <c r="I107" s="20"/>
    </row>
    <row r="108" spans="1:9" s="11" customFormat="1" ht="63" x14ac:dyDescent="0.25">
      <c r="A108" s="6"/>
      <c r="B108" s="7" t="s">
        <v>127</v>
      </c>
      <c r="C108" s="8">
        <f>SUM(C109:C110)</f>
        <v>122000</v>
      </c>
      <c r="D108" s="9">
        <f>D109+D110</f>
        <v>122000</v>
      </c>
      <c r="E108" s="9">
        <v>0</v>
      </c>
      <c r="F108" s="9">
        <f t="shared" si="2"/>
        <v>122000</v>
      </c>
      <c r="G108" s="9">
        <f t="shared" si="3"/>
        <v>0</v>
      </c>
      <c r="H108" s="10"/>
      <c r="I108" s="6"/>
    </row>
    <row r="109" spans="1:9" ht="31.5" x14ac:dyDescent="0.25">
      <c r="A109" s="20"/>
      <c r="B109" s="2" t="s">
        <v>60</v>
      </c>
      <c r="C109" s="3">
        <v>120000</v>
      </c>
      <c r="D109" s="1">
        <v>120000</v>
      </c>
      <c r="E109" s="1">
        <v>0</v>
      </c>
      <c r="F109" s="1">
        <f t="shared" si="2"/>
        <v>120000</v>
      </c>
      <c r="G109" s="1">
        <f t="shared" si="3"/>
        <v>0</v>
      </c>
      <c r="H109" s="4" t="s">
        <v>99</v>
      </c>
      <c r="I109" s="20"/>
    </row>
    <row r="110" spans="1:9" ht="31.5" x14ac:dyDescent="0.25">
      <c r="A110" s="20"/>
      <c r="B110" s="2" t="s">
        <v>61</v>
      </c>
      <c r="C110" s="3">
        <v>2000</v>
      </c>
      <c r="D110" s="1">
        <v>2000</v>
      </c>
      <c r="E110" s="1">
        <v>0</v>
      </c>
      <c r="F110" s="1">
        <f t="shared" si="2"/>
        <v>2000</v>
      </c>
      <c r="G110" s="1">
        <f t="shared" si="3"/>
        <v>0</v>
      </c>
      <c r="H110" s="4" t="s">
        <v>150</v>
      </c>
      <c r="I110" s="20"/>
    </row>
    <row r="111" spans="1:9" s="11" customFormat="1" ht="31.5" x14ac:dyDescent="0.25">
      <c r="A111" s="6"/>
      <c r="B111" s="7" t="s">
        <v>62</v>
      </c>
      <c r="C111" s="8">
        <f>C112</f>
        <v>140000</v>
      </c>
      <c r="D111" s="9">
        <f>D112</f>
        <v>140000</v>
      </c>
      <c r="E111" s="9">
        <v>0</v>
      </c>
      <c r="F111" s="9">
        <f t="shared" si="2"/>
        <v>140000</v>
      </c>
      <c r="G111" s="9">
        <f t="shared" si="3"/>
        <v>0</v>
      </c>
      <c r="H111" s="10" t="s">
        <v>151</v>
      </c>
      <c r="I111" s="6"/>
    </row>
    <row r="112" spans="1:9" ht="63" x14ac:dyDescent="0.25">
      <c r="A112" s="20"/>
      <c r="B112" s="2" t="s">
        <v>63</v>
      </c>
      <c r="C112" s="3">
        <v>140000</v>
      </c>
      <c r="D112" s="1">
        <f>70000*2</f>
        <v>140000</v>
      </c>
      <c r="E112" s="1">
        <v>0</v>
      </c>
      <c r="F112" s="1">
        <f t="shared" si="2"/>
        <v>140000</v>
      </c>
      <c r="G112" s="1">
        <f t="shared" si="3"/>
        <v>0</v>
      </c>
      <c r="H112" s="4" t="s">
        <v>97</v>
      </c>
      <c r="I112" s="20"/>
    </row>
    <row r="113" spans="1:9" s="11" customFormat="1" ht="31.5" x14ac:dyDescent="0.25">
      <c r="A113" s="6"/>
      <c r="B113" s="7" t="s">
        <v>144</v>
      </c>
      <c r="C113" s="8">
        <f>SUM(C114:C116)</f>
        <v>200008</v>
      </c>
      <c r="D113" s="9">
        <f>D114+D115+D116</f>
        <v>199336</v>
      </c>
      <c r="E113" s="9">
        <v>0</v>
      </c>
      <c r="F113" s="9">
        <f t="shared" si="2"/>
        <v>199336</v>
      </c>
      <c r="G113" s="9">
        <f t="shared" si="3"/>
        <v>672</v>
      </c>
      <c r="H113" s="10"/>
      <c r="I113" s="6"/>
    </row>
    <row r="114" spans="1:9" ht="47.25" x14ac:dyDescent="0.25">
      <c r="A114" s="20"/>
      <c r="B114" s="2" t="s">
        <v>123</v>
      </c>
      <c r="C114" s="3">
        <v>33336</v>
      </c>
      <c r="D114" s="1">
        <f>(2778*2)*3*2</f>
        <v>33336</v>
      </c>
      <c r="E114" s="1">
        <v>0</v>
      </c>
      <c r="F114" s="1">
        <f t="shared" si="2"/>
        <v>33336</v>
      </c>
      <c r="G114" s="1">
        <f t="shared" si="3"/>
        <v>0</v>
      </c>
      <c r="H114" s="4" t="s">
        <v>96</v>
      </c>
      <c r="I114" s="20"/>
    </row>
    <row r="115" spans="1:9" ht="47.25" x14ac:dyDescent="0.25">
      <c r="A115" s="20"/>
      <c r="B115" s="2" t="s">
        <v>124</v>
      </c>
      <c r="C115" s="3">
        <v>66672</v>
      </c>
      <c r="D115" s="1">
        <f>33000*2</f>
        <v>66000</v>
      </c>
      <c r="E115" s="1">
        <v>0</v>
      </c>
      <c r="F115" s="1">
        <f t="shared" si="2"/>
        <v>66000</v>
      </c>
      <c r="G115" s="1">
        <f t="shared" si="3"/>
        <v>672</v>
      </c>
      <c r="H115" s="4" t="s">
        <v>95</v>
      </c>
      <c r="I115" s="20" t="s">
        <v>83</v>
      </c>
    </row>
    <row r="116" spans="1:9" ht="31.5" x14ac:dyDescent="0.25">
      <c r="A116" s="20"/>
      <c r="B116" s="2" t="s">
        <v>64</v>
      </c>
      <c r="C116" s="3">
        <v>100000</v>
      </c>
      <c r="D116" s="1">
        <v>100000</v>
      </c>
      <c r="E116" s="1">
        <v>0</v>
      </c>
      <c r="F116" s="1">
        <f t="shared" si="2"/>
        <v>100000</v>
      </c>
      <c r="G116" s="1">
        <f t="shared" si="3"/>
        <v>0</v>
      </c>
      <c r="H116" s="4" t="s">
        <v>98</v>
      </c>
      <c r="I116" s="20"/>
    </row>
    <row r="117" spans="1:9" s="11" customFormat="1" ht="63" x14ac:dyDescent="0.25">
      <c r="A117" s="6"/>
      <c r="B117" s="7" t="s">
        <v>65</v>
      </c>
      <c r="C117" s="8">
        <f>C118</f>
        <v>1010000</v>
      </c>
      <c r="D117" s="9">
        <f>D118</f>
        <v>1010000</v>
      </c>
      <c r="E117" s="9">
        <v>0</v>
      </c>
      <c r="F117" s="9">
        <f t="shared" si="2"/>
        <v>1010000</v>
      </c>
      <c r="G117" s="9">
        <f t="shared" si="3"/>
        <v>0</v>
      </c>
      <c r="H117" s="10"/>
      <c r="I117" s="6"/>
    </row>
    <row r="118" spans="1:9" s="11" customFormat="1" ht="63" x14ac:dyDescent="0.25">
      <c r="A118" s="6"/>
      <c r="B118" s="7" t="s">
        <v>127</v>
      </c>
      <c r="C118" s="8">
        <f>SUM(C119:C120)</f>
        <v>1010000</v>
      </c>
      <c r="D118" s="9">
        <f>D119+D120</f>
        <v>1010000</v>
      </c>
      <c r="E118" s="9">
        <v>0</v>
      </c>
      <c r="F118" s="9">
        <f t="shared" si="2"/>
        <v>1010000</v>
      </c>
      <c r="G118" s="9">
        <f t="shared" si="3"/>
        <v>0</v>
      </c>
      <c r="H118" s="10"/>
      <c r="I118" s="6"/>
    </row>
    <row r="119" spans="1:9" ht="31.5" x14ac:dyDescent="0.25">
      <c r="A119" s="20"/>
      <c r="B119" s="2" t="s">
        <v>66</v>
      </c>
      <c r="C119" s="3">
        <v>10000</v>
      </c>
      <c r="D119" s="1">
        <v>10000</v>
      </c>
      <c r="E119" s="1">
        <v>0</v>
      </c>
      <c r="F119" s="1">
        <f t="shared" si="2"/>
        <v>10000</v>
      </c>
      <c r="G119" s="1">
        <f t="shared" si="3"/>
        <v>0</v>
      </c>
      <c r="H119" s="4" t="s">
        <v>101</v>
      </c>
      <c r="I119" s="20"/>
    </row>
    <row r="120" spans="1:9" ht="31.5" x14ac:dyDescent="0.25">
      <c r="A120" s="20"/>
      <c r="B120" s="2" t="s">
        <v>67</v>
      </c>
      <c r="C120" s="3">
        <v>1000000</v>
      </c>
      <c r="D120" s="1">
        <f>998000+2000</f>
        <v>1000000</v>
      </c>
      <c r="E120" s="1">
        <v>0</v>
      </c>
      <c r="F120" s="1">
        <f t="shared" si="2"/>
        <v>1000000</v>
      </c>
      <c r="G120" s="1">
        <f t="shared" si="3"/>
        <v>0</v>
      </c>
      <c r="H120" s="4" t="s">
        <v>103</v>
      </c>
      <c r="I120" s="20"/>
    </row>
    <row r="121" spans="1:9" s="11" customFormat="1" ht="47.25" x14ac:dyDescent="0.25">
      <c r="A121" s="6"/>
      <c r="B121" s="7" t="s">
        <v>145</v>
      </c>
      <c r="C121" s="8">
        <f>C122+C129+C132</f>
        <v>812120</v>
      </c>
      <c r="D121" s="9">
        <f>D122+D123+D124+D125+D126+D127+D128</f>
        <v>0</v>
      </c>
      <c r="E121" s="9">
        <f>E122+E129+E132</f>
        <v>4000</v>
      </c>
      <c r="F121" s="9">
        <f t="shared" si="2"/>
        <v>4000</v>
      </c>
      <c r="G121" s="9">
        <f t="shared" si="3"/>
        <v>808120</v>
      </c>
      <c r="H121" s="10"/>
      <c r="I121" s="6"/>
    </row>
    <row r="122" spans="1:9" s="11" customFormat="1" ht="31.5" x14ac:dyDescent="0.25">
      <c r="A122" s="6"/>
      <c r="B122" s="7" t="s">
        <v>34</v>
      </c>
      <c r="C122" s="8">
        <f>SUM(C123:C128)</f>
        <v>388920</v>
      </c>
      <c r="D122" s="9">
        <f>D123+D124+D125+D126+D127+D128</f>
        <v>0</v>
      </c>
      <c r="E122" s="9">
        <v>0</v>
      </c>
      <c r="F122" s="9">
        <f t="shared" si="2"/>
        <v>0</v>
      </c>
      <c r="G122" s="9">
        <f t="shared" si="3"/>
        <v>388920</v>
      </c>
      <c r="H122" s="10"/>
      <c r="I122" s="6"/>
    </row>
    <row r="123" spans="1:9" ht="47.25" x14ac:dyDescent="0.25">
      <c r="A123" s="20"/>
      <c r="B123" s="2" t="s">
        <v>121</v>
      </c>
      <c r="C123" s="3">
        <v>33336</v>
      </c>
      <c r="D123" s="1">
        <v>0</v>
      </c>
      <c r="E123" s="1">
        <v>0</v>
      </c>
      <c r="F123" s="1">
        <f t="shared" si="2"/>
        <v>0</v>
      </c>
      <c r="G123" s="1">
        <f t="shared" si="3"/>
        <v>33336</v>
      </c>
      <c r="H123" s="4"/>
      <c r="I123" s="24" t="s">
        <v>83</v>
      </c>
    </row>
    <row r="124" spans="1:9" ht="47.25" x14ac:dyDescent="0.25">
      <c r="A124" s="20"/>
      <c r="B124" s="2" t="s">
        <v>122</v>
      </c>
      <c r="C124" s="3">
        <v>66672</v>
      </c>
      <c r="D124" s="1">
        <v>0</v>
      </c>
      <c r="E124" s="1">
        <v>0</v>
      </c>
      <c r="F124" s="1">
        <f t="shared" si="2"/>
        <v>0</v>
      </c>
      <c r="G124" s="1">
        <f t="shared" si="3"/>
        <v>66672</v>
      </c>
      <c r="H124" s="4"/>
      <c r="I124" s="24"/>
    </row>
    <row r="125" spans="1:9" ht="47.25" x14ac:dyDescent="0.25">
      <c r="A125" s="20"/>
      <c r="B125" s="2" t="s">
        <v>123</v>
      </c>
      <c r="C125" s="3">
        <v>33336</v>
      </c>
      <c r="D125" s="1">
        <v>0</v>
      </c>
      <c r="E125" s="1">
        <v>0</v>
      </c>
      <c r="F125" s="1">
        <f t="shared" si="2"/>
        <v>0</v>
      </c>
      <c r="G125" s="1">
        <f t="shared" si="3"/>
        <v>33336</v>
      </c>
      <c r="H125" s="4"/>
      <c r="I125" s="24"/>
    </row>
    <row r="126" spans="1:9" ht="47.25" x14ac:dyDescent="0.25">
      <c r="A126" s="20"/>
      <c r="B126" s="2" t="s">
        <v>124</v>
      </c>
      <c r="C126" s="3">
        <v>66672</v>
      </c>
      <c r="D126" s="1">
        <v>0</v>
      </c>
      <c r="E126" s="1">
        <v>0</v>
      </c>
      <c r="F126" s="1">
        <f t="shared" si="2"/>
        <v>0</v>
      </c>
      <c r="G126" s="1">
        <f t="shared" si="3"/>
        <v>66672</v>
      </c>
      <c r="H126" s="4"/>
      <c r="I126" s="24"/>
    </row>
    <row r="127" spans="1:9" ht="47.25" x14ac:dyDescent="0.25">
      <c r="A127" s="20"/>
      <c r="B127" s="2" t="s">
        <v>125</v>
      </c>
      <c r="C127" s="3">
        <v>55560</v>
      </c>
      <c r="D127" s="1">
        <v>0</v>
      </c>
      <c r="E127" s="1">
        <v>0</v>
      </c>
      <c r="F127" s="1">
        <f t="shared" si="2"/>
        <v>0</v>
      </c>
      <c r="G127" s="1">
        <f t="shared" si="3"/>
        <v>55560</v>
      </c>
      <c r="H127" s="4"/>
      <c r="I127" s="24"/>
    </row>
    <row r="128" spans="1:9" ht="47.25" x14ac:dyDescent="0.25">
      <c r="A128" s="20"/>
      <c r="B128" s="2" t="s">
        <v>126</v>
      </c>
      <c r="C128" s="3">
        <v>133344</v>
      </c>
      <c r="D128" s="1">
        <v>0</v>
      </c>
      <c r="E128" s="1">
        <v>0</v>
      </c>
      <c r="F128" s="1">
        <f t="shared" si="2"/>
        <v>0</v>
      </c>
      <c r="G128" s="1">
        <f t="shared" si="3"/>
        <v>133344</v>
      </c>
      <c r="H128" s="4"/>
      <c r="I128" s="24"/>
    </row>
    <row r="129" spans="1:9" s="11" customFormat="1" ht="63" x14ac:dyDescent="0.25">
      <c r="A129" s="6"/>
      <c r="B129" s="7" t="s">
        <v>127</v>
      </c>
      <c r="C129" s="8">
        <f>SUM(C130:C131)</f>
        <v>400000</v>
      </c>
      <c r="D129" s="9">
        <f>D130+D131</f>
        <v>0</v>
      </c>
      <c r="E129" s="9">
        <v>0</v>
      </c>
      <c r="F129" s="9">
        <f t="shared" si="2"/>
        <v>0</v>
      </c>
      <c r="G129" s="9">
        <f t="shared" si="3"/>
        <v>400000</v>
      </c>
      <c r="H129" s="10"/>
      <c r="I129" s="6"/>
    </row>
    <row r="130" spans="1:9" ht="31.5" x14ac:dyDescent="0.25">
      <c r="A130" s="20"/>
      <c r="B130" s="2" t="s">
        <v>35</v>
      </c>
      <c r="C130" s="3">
        <v>300000</v>
      </c>
      <c r="D130" s="1">
        <v>0</v>
      </c>
      <c r="E130" s="1">
        <v>0</v>
      </c>
      <c r="F130" s="1">
        <f t="shared" si="2"/>
        <v>0</v>
      </c>
      <c r="G130" s="1">
        <f t="shared" si="3"/>
        <v>300000</v>
      </c>
      <c r="H130" s="21"/>
      <c r="I130" s="24" t="s">
        <v>83</v>
      </c>
    </row>
    <row r="131" spans="1:9" ht="44.45" customHeight="1" x14ac:dyDescent="0.25">
      <c r="A131" s="20"/>
      <c r="B131" s="2" t="s">
        <v>146</v>
      </c>
      <c r="C131" s="3">
        <v>100000</v>
      </c>
      <c r="D131" s="1">
        <v>0</v>
      </c>
      <c r="E131" s="1">
        <v>0</v>
      </c>
      <c r="F131" s="1">
        <f t="shared" si="2"/>
        <v>0</v>
      </c>
      <c r="G131" s="1">
        <f t="shared" si="3"/>
        <v>100000</v>
      </c>
      <c r="H131" s="23"/>
      <c r="I131" s="24"/>
    </row>
    <row r="132" spans="1:9" s="11" customFormat="1" ht="31.5" x14ac:dyDescent="0.25">
      <c r="A132" s="6"/>
      <c r="B132" s="7" t="s">
        <v>147</v>
      </c>
      <c r="C132" s="8">
        <f>SUM(C133:C136)</f>
        <v>23200</v>
      </c>
      <c r="D132" s="9">
        <f>D133+D134+D135+D136</f>
        <v>0</v>
      </c>
      <c r="E132" s="9">
        <f>E136</f>
        <v>4000</v>
      </c>
      <c r="F132" s="9">
        <f t="shared" si="2"/>
        <v>4000</v>
      </c>
      <c r="G132" s="9">
        <f t="shared" si="3"/>
        <v>19200</v>
      </c>
      <c r="H132" s="10"/>
      <c r="I132" s="6"/>
    </row>
    <row r="133" spans="1:9" ht="31.5" customHeight="1" x14ac:dyDescent="0.25">
      <c r="A133" s="20"/>
      <c r="B133" s="2" t="s">
        <v>129</v>
      </c>
      <c r="C133" s="3">
        <v>4800</v>
      </c>
      <c r="D133" s="1">
        <v>0</v>
      </c>
      <c r="E133" s="1">
        <v>0</v>
      </c>
      <c r="F133" s="1">
        <f t="shared" si="2"/>
        <v>0</v>
      </c>
      <c r="G133" s="1">
        <f t="shared" si="3"/>
        <v>4800</v>
      </c>
      <c r="H133" s="21" t="s">
        <v>190</v>
      </c>
      <c r="I133" s="24"/>
    </row>
    <row r="134" spans="1:9" ht="31.5" customHeight="1" x14ac:dyDescent="0.25">
      <c r="A134" s="20"/>
      <c r="B134" s="2" t="s">
        <v>40</v>
      </c>
      <c r="C134" s="3">
        <v>10000</v>
      </c>
      <c r="D134" s="1">
        <v>0</v>
      </c>
      <c r="E134" s="1">
        <v>0</v>
      </c>
      <c r="F134" s="1">
        <f t="shared" si="2"/>
        <v>0</v>
      </c>
      <c r="G134" s="1">
        <f t="shared" si="3"/>
        <v>10000</v>
      </c>
      <c r="H134" s="22"/>
      <c r="I134" s="24"/>
    </row>
    <row r="135" spans="1:9" ht="31.5" customHeight="1" x14ac:dyDescent="0.25">
      <c r="A135" s="20"/>
      <c r="B135" s="2" t="s">
        <v>37</v>
      </c>
      <c r="C135" s="3">
        <v>4400</v>
      </c>
      <c r="D135" s="1">
        <v>0</v>
      </c>
      <c r="E135" s="1">
        <v>0</v>
      </c>
      <c r="F135" s="1">
        <f t="shared" si="2"/>
        <v>0</v>
      </c>
      <c r="G135" s="1">
        <f t="shared" si="3"/>
        <v>4400</v>
      </c>
      <c r="H135" s="23"/>
      <c r="I135" s="24"/>
    </row>
    <row r="136" spans="1:9" ht="31.5" customHeight="1" x14ac:dyDescent="0.25">
      <c r="A136" s="20"/>
      <c r="B136" s="2" t="s">
        <v>68</v>
      </c>
      <c r="C136" s="3">
        <v>4000</v>
      </c>
      <c r="D136" s="1">
        <v>0</v>
      </c>
      <c r="E136" s="1">
        <v>4000</v>
      </c>
      <c r="F136" s="1">
        <f t="shared" si="2"/>
        <v>4000</v>
      </c>
      <c r="G136" s="1">
        <f t="shared" si="3"/>
        <v>0</v>
      </c>
      <c r="H136" s="4" t="s">
        <v>169</v>
      </c>
      <c r="I136" s="24"/>
    </row>
    <row r="137" spans="1:9" s="11" customFormat="1" ht="47.25" x14ac:dyDescent="0.25">
      <c r="A137" s="6"/>
      <c r="B137" s="7" t="s">
        <v>69</v>
      </c>
      <c r="C137" s="8">
        <f>C138+C141</f>
        <v>38750</v>
      </c>
      <c r="D137" s="9">
        <f>D138+D141</f>
        <v>0</v>
      </c>
      <c r="E137" s="9">
        <f>E138</f>
        <v>10000</v>
      </c>
      <c r="F137" s="9">
        <f t="shared" si="2"/>
        <v>10000</v>
      </c>
      <c r="G137" s="9">
        <f t="shared" si="3"/>
        <v>28750</v>
      </c>
      <c r="H137" s="10"/>
    </row>
    <row r="138" spans="1:9" s="11" customFormat="1" ht="63" x14ac:dyDescent="0.25">
      <c r="A138" s="6"/>
      <c r="B138" s="7" t="s">
        <v>127</v>
      </c>
      <c r="C138" s="8">
        <f>SUM(C139:C140)</f>
        <v>35000</v>
      </c>
      <c r="D138" s="9">
        <f>D139+D140</f>
        <v>0</v>
      </c>
      <c r="E138" s="9">
        <f>E140</f>
        <v>10000</v>
      </c>
      <c r="F138" s="9">
        <f t="shared" si="2"/>
        <v>10000</v>
      </c>
      <c r="G138" s="9">
        <f t="shared" si="3"/>
        <v>25000</v>
      </c>
      <c r="H138" s="10"/>
      <c r="I138" s="6"/>
    </row>
    <row r="139" spans="1:9" ht="31.5" customHeight="1" x14ac:dyDescent="0.25">
      <c r="A139" s="20"/>
      <c r="B139" s="2" t="s">
        <v>128</v>
      </c>
      <c r="C139" s="3">
        <v>25000</v>
      </c>
      <c r="D139" s="1">
        <v>0</v>
      </c>
      <c r="E139" s="1">
        <v>0</v>
      </c>
      <c r="F139" s="1">
        <f t="shared" ref="F139:F143" si="4">D139+E139</f>
        <v>0</v>
      </c>
      <c r="G139" s="1">
        <f t="shared" ref="G139:G143" si="5">C139-F139</f>
        <v>25000</v>
      </c>
      <c r="H139" s="4"/>
      <c r="I139" s="20" t="s">
        <v>156</v>
      </c>
    </row>
    <row r="140" spans="1:9" ht="31.5" x14ac:dyDescent="0.25">
      <c r="A140" s="20"/>
      <c r="B140" s="2" t="s">
        <v>70</v>
      </c>
      <c r="C140" s="3">
        <v>10000</v>
      </c>
      <c r="D140" s="1">
        <v>0</v>
      </c>
      <c r="E140" s="1">
        <v>10000</v>
      </c>
      <c r="F140" s="1">
        <f t="shared" si="4"/>
        <v>10000</v>
      </c>
      <c r="G140" s="1">
        <f t="shared" si="5"/>
        <v>0</v>
      </c>
      <c r="H140" s="4" t="s">
        <v>170</v>
      </c>
      <c r="I140" s="4"/>
    </row>
    <row r="141" spans="1:9" s="11" customFormat="1" ht="31.5" x14ac:dyDescent="0.25">
      <c r="A141" s="6"/>
      <c r="B141" s="7" t="s">
        <v>148</v>
      </c>
      <c r="C141" s="8">
        <f>C142</f>
        <v>3750</v>
      </c>
      <c r="D141" s="9">
        <f>D142</f>
        <v>0</v>
      </c>
      <c r="E141" s="9">
        <v>0</v>
      </c>
      <c r="F141" s="9">
        <f t="shared" si="4"/>
        <v>0</v>
      </c>
      <c r="G141" s="9">
        <f t="shared" si="5"/>
        <v>3750</v>
      </c>
      <c r="H141" s="4"/>
      <c r="I141" s="6"/>
    </row>
    <row r="142" spans="1:9" ht="31.5" x14ac:dyDescent="0.25">
      <c r="A142" s="20"/>
      <c r="B142" s="2" t="s">
        <v>71</v>
      </c>
      <c r="C142" s="3">
        <v>3750</v>
      </c>
      <c r="D142" s="1">
        <v>0</v>
      </c>
      <c r="E142" s="1">
        <v>0</v>
      </c>
      <c r="F142" s="1">
        <f t="shared" si="4"/>
        <v>0</v>
      </c>
      <c r="G142" s="1">
        <f t="shared" si="5"/>
        <v>3750</v>
      </c>
      <c r="H142" s="4"/>
      <c r="I142" s="20" t="s">
        <v>156</v>
      </c>
    </row>
    <row r="143" spans="1:9" s="11" customFormat="1" x14ac:dyDescent="0.25">
      <c r="A143" s="6"/>
      <c r="B143" s="7" t="s">
        <v>149</v>
      </c>
      <c r="C143" s="8">
        <v>22017000</v>
      </c>
      <c r="D143" s="9">
        <f>D10+D36+D48</f>
        <v>14549868.57</v>
      </c>
      <c r="E143" s="9">
        <f>E10+E36+E48</f>
        <v>3362958.91</v>
      </c>
      <c r="F143" s="9">
        <f t="shared" si="4"/>
        <v>17912827.48</v>
      </c>
      <c r="G143" s="9">
        <f t="shared" si="5"/>
        <v>4104172.5199999996</v>
      </c>
      <c r="H143" s="10"/>
      <c r="I143" s="6"/>
    </row>
    <row r="145" spans="2:2" x14ac:dyDescent="0.25">
      <c r="B145" s="5" t="s">
        <v>76</v>
      </c>
    </row>
    <row r="147" spans="2:2" x14ac:dyDescent="0.25">
      <c r="B147" s="5" t="s">
        <v>77</v>
      </c>
    </row>
    <row r="149" spans="2:2" x14ac:dyDescent="0.25">
      <c r="B149" s="5" t="s">
        <v>75</v>
      </c>
    </row>
    <row r="152" spans="2:2" x14ac:dyDescent="0.25">
      <c r="B152" s="5" t="s">
        <v>78</v>
      </c>
    </row>
    <row r="154" spans="2:2" x14ac:dyDescent="0.25">
      <c r="B154" s="5" t="s">
        <v>79</v>
      </c>
    </row>
    <row r="163" spans="9:9" x14ac:dyDescent="0.25">
      <c r="I163" s="13"/>
    </row>
  </sheetData>
  <mergeCells count="15">
    <mergeCell ref="H133:H135"/>
    <mergeCell ref="H130:H131"/>
    <mergeCell ref="H101:H107"/>
    <mergeCell ref="H66:H69"/>
    <mergeCell ref="I33:I35"/>
    <mergeCell ref="H41:H42"/>
    <mergeCell ref="I43:I46"/>
    <mergeCell ref="I39:I40"/>
    <mergeCell ref="H61:H63"/>
    <mergeCell ref="H43:H46"/>
    <mergeCell ref="H94:H97"/>
    <mergeCell ref="I133:I136"/>
    <mergeCell ref="I130:I131"/>
    <mergeCell ref="I123:I128"/>
    <mergeCell ref="I94:I97"/>
  </mergeCells>
  <pageMargins left="0.7" right="0.7" top="0.75" bottom="0.75" header="0.3" footer="0.3"/>
  <pageSetup paperSize="9" scale="64" fitToHeight="0" orientation="landscape" r:id="rId1"/>
  <headerFooter>
    <oddFooter>&amp;C &amp;P</oddFooter>
  </headerFooter>
  <rowBreaks count="2" manualBreakCount="2">
    <brk id="15" max="8" man="1"/>
    <brk id="1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Antares 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PC</cp:lastModifiedBy>
  <cp:lastPrinted>2020-12-22T13:17:22Z</cp:lastPrinted>
  <dcterms:created xsi:type="dcterms:W3CDTF">2020-08-13T08:37:41Z</dcterms:created>
  <dcterms:modified xsi:type="dcterms:W3CDTF">2020-12-22T13:17:24Z</dcterms:modified>
</cp:coreProperties>
</file>